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edson\LICITAÇÕES\LICITAÇÃO 2020\PLANILHAS DE OBRAS DA PREFEITURA\CASA DE VELORIO\"/>
    </mc:Choice>
  </mc:AlternateContent>
  <bookViews>
    <workbookView xWindow="-120" yWindow="-120" windowWidth="20730" windowHeight="11760" tabRatio="601"/>
  </bookViews>
  <sheets>
    <sheet name="PLANILHA orçamentária" sheetId="8" r:id="rId1"/>
    <sheet name="memória de cálculo" sheetId="10" r:id="rId2"/>
    <sheet name=" CRNOGRAMA 1" sheetId="9" r:id="rId3"/>
  </sheets>
  <externalReferences>
    <externalReference r:id="rId4"/>
  </externalReferences>
  <definedNames>
    <definedName name="_xlnm.Print_Area" localSheetId="2">' CRNOGRAMA 1'!$A$1:$Q$52</definedName>
    <definedName name="_xlnm.Print_Area" localSheetId="0">'PLANILHA orçamentária'!$A$1:$H$131</definedName>
    <definedName name="_xlnm.Print_Titles" localSheetId="0">'PLANILHA orçamentária'!$1:$6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51" i="9" l="1"/>
  <c r="A51" i="9"/>
  <c r="B28" i="9"/>
  <c r="B26" i="9"/>
  <c r="B24" i="9"/>
  <c r="B22" i="9"/>
  <c r="B20" i="9"/>
  <c r="B18" i="9"/>
  <c r="B16" i="9"/>
  <c r="B14" i="9"/>
  <c r="B10" i="9"/>
  <c r="B8" i="9"/>
  <c r="B6" i="9"/>
  <c r="A104" i="10"/>
  <c r="A103" i="10"/>
  <c r="A108" i="10"/>
  <c r="E123" i="8"/>
  <c r="E120" i="8"/>
  <c r="E119" i="8"/>
  <c r="E118" i="8"/>
  <c r="E117" i="8"/>
  <c r="E113" i="8"/>
  <c r="E114" i="8"/>
  <c r="E112" i="8"/>
  <c r="D99" i="10"/>
  <c r="A100" i="10"/>
  <c r="A101" i="10"/>
  <c r="A102" i="10"/>
  <c r="A99" i="10"/>
  <c r="A98" i="10"/>
  <c r="A94" i="10"/>
  <c r="D96" i="10"/>
  <c r="D97" i="10"/>
  <c r="A96" i="10"/>
  <c r="A97" i="10"/>
  <c r="A95" i="10"/>
  <c r="D92" i="10"/>
  <c r="D93" i="10"/>
  <c r="D91" i="10"/>
  <c r="D87" i="10"/>
  <c r="D88" i="10"/>
  <c r="D89" i="10"/>
  <c r="D86" i="10"/>
  <c r="A85" i="10"/>
  <c r="D83" i="10"/>
  <c r="D84" i="10"/>
  <c r="A92" i="10"/>
  <c r="A93" i="10"/>
  <c r="A91" i="10"/>
  <c r="D82" i="10" l="1"/>
  <c r="I92" i="10"/>
  <c r="I91" i="10"/>
  <c r="E107" i="8" s="1"/>
  <c r="I89" i="10" l="1"/>
  <c r="E104" i="8" s="1"/>
  <c r="I88" i="10"/>
  <c r="E103" i="8" s="1"/>
  <c r="I87" i="10"/>
  <c r="E102" i="8" s="1"/>
  <c r="I86" i="10"/>
  <c r="E101" i="8" s="1"/>
  <c r="A87" i="10"/>
  <c r="A88" i="10"/>
  <c r="A89" i="10"/>
  <c r="A86" i="10"/>
  <c r="A83" i="10"/>
  <c r="A84" i="10"/>
  <c r="A82" i="10"/>
  <c r="I84" i="10"/>
  <c r="E98" i="8" s="1"/>
  <c r="I83" i="10"/>
  <c r="E97" i="8" s="1"/>
  <c r="I82" i="10"/>
  <c r="E96" i="8" s="1"/>
  <c r="D70" i="10"/>
  <c r="D71" i="10"/>
  <c r="D72" i="10"/>
  <c r="D73" i="10"/>
  <c r="D74" i="10"/>
  <c r="D75" i="10"/>
  <c r="D76" i="10"/>
  <c r="D77" i="10"/>
  <c r="D78" i="10"/>
  <c r="D79" i="10"/>
  <c r="D80" i="10"/>
  <c r="D69" i="10"/>
  <c r="D47" i="10"/>
  <c r="D48" i="10"/>
  <c r="D49" i="10"/>
  <c r="D50" i="10"/>
  <c r="D51" i="10"/>
  <c r="D52" i="10"/>
  <c r="D53" i="10"/>
  <c r="D54" i="10"/>
  <c r="D55" i="10"/>
  <c r="D56" i="10"/>
  <c r="D57" i="10"/>
  <c r="D58" i="10"/>
  <c r="D59" i="10"/>
  <c r="D60" i="10"/>
  <c r="D61" i="10"/>
  <c r="D62" i="10"/>
  <c r="D63" i="10"/>
  <c r="D64" i="10"/>
  <c r="D65" i="10"/>
  <c r="D66" i="10"/>
  <c r="D67" i="10"/>
  <c r="D46" i="10"/>
  <c r="E83" i="8"/>
  <c r="E85" i="8"/>
  <c r="E86" i="8"/>
  <c r="E88" i="8"/>
  <c r="E89" i="8"/>
  <c r="E90" i="8"/>
  <c r="E91" i="8"/>
  <c r="E92" i="8"/>
  <c r="A78" i="10"/>
  <c r="A79" i="10"/>
  <c r="A80" i="10"/>
  <c r="I69" i="10"/>
  <c r="E82" i="8" s="1"/>
  <c r="A70" i="10"/>
  <c r="A71" i="10"/>
  <c r="A72" i="10"/>
  <c r="A73" i="10"/>
  <c r="A74" i="10"/>
  <c r="A75" i="10"/>
  <c r="A76" i="10"/>
  <c r="A77" i="10"/>
  <c r="A69" i="10"/>
  <c r="A68" i="10"/>
  <c r="I59" i="10"/>
  <c r="A47" i="10"/>
  <c r="A48" i="10"/>
  <c r="A49" i="10"/>
  <c r="A50" i="10"/>
  <c r="A51" i="10"/>
  <c r="A52" i="10"/>
  <c r="A53" i="10"/>
  <c r="A54" i="10"/>
  <c r="A55" i="10"/>
  <c r="A56" i="10"/>
  <c r="A57" i="10"/>
  <c r="A58" i="10"/>
  <c r="A59" i="10"/>
  <c r="A60" i="10"/>
  <c r="A61" i="10"/>
  <c r="A62" i="10"/>
  <c r="A63" i="10"/>
  <c r="A64" i="10"/>
  <c r="A65" i="10"/>
  <c r="A66" i="10"/>
  <c r="A67" i="10"/>
  <c r="A46" i="10"/>
  <c r="A45" i="10"/>
  <c r="I43" i="10"/>
  <c r="E54" i="8" s="1"/>
  <c r="I44" i="10"/>
  <c r="E55" i="8" s="1"/>
  <c r="I42" i="10"/>
  <c r="I41" i="10"/>
  <c r="E52" i="8" s="1"/>
  <c r="I40" i="10"/>
  <c r="E51" i="8" s="1"/>
  <c r="I39" i="10"/>
  <c r="E50" i="8" s="1"/>
  <c r="I38" i="10"/>
  <c r="E49" i="8" s="1"/>
  <c r="I37" i="10"/>
  <c r="E48" i="8" s="1"/>
  <c r="D42" i="10"/>
  <c r="D43" i="10"/>
  <c r="D44" i="10"/>
  <c r="D37" i="10"/>
  <c r="A43" i="10"/>
  <c r="A44" i="10"/>
  <c r="A38" i="10"/>
  <c r="A39" i="10"/>
  <c r="A40" i="10"/>
  <c r="A41" i="10"/>
  <c r="A42" i="10"/>
  <c r="A37" i="10"/>
  <c r="A36" i="10"/>
  <c r="I35" i="10"/>
  <c r="E45" i="8" s="1"/>
  <c r="I34" i="10"/>
  <c r="E44" i="8" s="1"/>
  <c r="I33" i="10"/>
  <c r="E43" i="8" s="1"/>
  <c r="D33" i="10"/>
  <c r="A34" i="10"/>
  <c r="A35" i="10"/>
  <c r="A33" i="10"/>
  <c r="E35" i="8"/>
  <c r="E36" i="8"/>
  <c r="I31" i="10"/>
  <c r="E40" i="8" s="1"/>
  <c r="E30" i="10"/>
  <c r="I29" i="10"/>
  <c r="E38" i="8" s="1"/>
  <c r="I28" i="10"/>
  <c r="E37" i="8" s="1"/>
  <c r="E34" i="8"/>
  <c r="D26" i="10"/>
  <c r="D27" i="10"/>
  <c r="D28" i="10"/>
  <c r="D29" i="10"/>
  <c r="D30" i="10"/>
  <c r="D31" i="10"/>
  <c r="D25" i="10"/>
  <c r="D19" i="10"/>
  <c r="D20" i="10"/>
  <c r="D21" i="10"/>
  <c r="D22" i="10"/>
  <c r="D23" i="10"/>
  <c r="D18" i="10"/>
  <c r="D12" i="10"/>
  <c r="D13" i="10"/>
  <c r="D14" i="10"/>
  <c r="D15" i="10"/>
  <c r="D16" i="10"/>
  <c r="D7" i="10"/>
  <c r="D9" i="10"/>
  <c r="D6" i="10"/>
  <c r="D4" i="10"/>
  <c r="A29" i="10"/>
  <c r="A30" i="10"/>
  <c r="A31" i="10"/>
  <c r="A26" i="10"/>
  <c r="A27" i="10"/>
  <c r="A28" i="10"/>
  <c r="A25" i="10"/>
  <c r="A24" i="10"/>
  <c r="A23" i="10"/>
  <c r="E31" i="8"/>
  <c r="E30" i="8"/>
  <c r="I19" i="10"/>
  <c r="E27" i="8" s="1"/>
  <c r="I21" i="10"/>
  <c r="E29" i="8" s="1"/>
  <c r="I20" i="10"/>
  <c r="E28" i="8" s="1"/>
  <c r="I18" i="10"/>
  <c r="E26" i="8" s="1"/>
  <c r="A19" i="10"/>
  <c r="A22" i="10"/>
  <c r="A17" i="10"/>
  <c r="I16" i="10"/>
  <c r="E23" i="8" s="1"/>
  <c r="I15" i="10"/>
  <c r="E22" i="8" s="1"/>
  <c r="I13" i="10"/>
  <c r="E20" i="8" s="1"/>
  <c r="I14" i="10"/>
  <c r="E21" i="8" s="1"/>
  <c r="I12" i="10"/>
  <c r="E19" i="8" s="1"/>
  <c r="A12" i="10"/>
  <c r="A14" i="10"/>
  <c r="A15" i="10"/>
  <c r="A16" i="10"/>
  <c r="I11" i="10"/>
  <c r="E18" i="8" s="1"/>
  <c r="A11" i="10"/>
  <c r="A10" i="10"/>
  <c r="I9" i="10"/>
  <c r="E15" i="8" s="1"/>
  <c r="A7" i="10"/>
  <c r="A8" i="10"/>
  <c r="A9" i="10"/>
  <c r="A6" i="10"/>
  <c r="I7" i="10"/>
  <c r="E13" i="8" s="1"/>
  <c r="I6" i="10"/>
  <c r="E12" i="8" s="1"/>
  <c r="A5" i="10"/>
  <c r="I4" i="10"/>
  <c r="E9" i="8" s="1"/>
  <c r="A4" i="10"/>
  <c r="E8" i="8"/>
  <c r="D3" i="10"/>
  <c r="A2" i="10"/>
  <c r="A3" i="10"/>
  <c r="D102" i="10"/>
  <c r="D101" i="10"/>
  <c r="D100" i="10"/>
  <c r="I93" i="10"/>
  <c r="A90" i="10"/>
  <c r="A81" i="10"/>
  <c r="I80" i="10"/>
  <c r="E93" i="8" s="1"/>
  <c r="I74" i="10"/>
  <c r="E87" i="8" s="1"/>
  <c r="I71" i="10"/>
  <c r="E84" i="8" s="1"/>
  <c r="I64" i="10"/>
  <c r="I62" i="10"/>
  <c r="I61" i="10"/>
  <c r="I47" i="10"/>
  <c r="A32" i="10"/>
  <c r="E109" i="8" l="1"/>
  <c r="I8" i="10"/>
  <c r="E14" i="8" s="1"/>
  <c r="I30" i="10"/>
  <c r="E39" i="8" s="1"/>
  <c r="G30" i="8"/>
  <c r="H30" i="8" s="1"/>
  <c r="E94" i="8" l="1"/>
  <c r="E99" i="8" s="1"/>
  <c r="E105" i="8" s="1"/>
  <c r="E110" i="8" s="1"/>
  <c r="E32" i="8"/>
  <c r="E41" i="8" s="1"/>
  <c r="G117" i="8"/>
  <c r="H117" i="8" s="1"/>
  <c r="Q27" i="9" l="1"/>
  <c r="G78" i="8"/>
  <c r="H78" i="8" s="1"/>
  <c r="F44" i="8"/>
  <c r="G44" i="8" s="1"/>
  <c r="D45" i="8"/>
  <c r="D35" i="10" s="1"/>
  <c r="D44" i="8"/>
  <c r="D34" i="10" s="1"/>
  <c r="G45" i="8"/>
  <c r="E71" i="8"/>
  <c r="G120" i="8"/>
  <c r="H120" i="8" s="1"/>
  <c r="D119" i="8"/>
  <c r="D120" i="8" s="1"/>
  <c r="G119" i="8"/>
  <c r="H119" i="8" s="1"/>
  <c r="G118" i="8"/>
  <c r="H118" i="8" s="1"/>
  <c r="D52" i="8"/>
  <c r="D41" i="10" s="1"/>
  <c r="G52" i="8"/>
  <c r="H52" i="8" s="1"/>
  <c r="G51" i="8"/>
  <c r="H51" i="8" s="1"/>
  <c r="D49" i="8"/>
  <c r="D38" i="10" s="1"/>
  <c r="D50" i="8"/>
  <c r="G50" i="8"/>
  <c r="H50" i="8" s="1"/>
  <c r="D51" i="8" l="1"/>
  <c r="D40" i="10" s="1"/>
  <c r="D39" i="10"/>
  <c r="H44" i="8"/>
  <c r="H45" i="8"/>
  <c r="G104" i="8" l="1"/>
  <c r="H104" i="8" s="1"/>
  <c r="Q4" i="9" l="1"/>
  <c r="Q7" i="9"/>
  <c r="B34" i="9"/>
  <c r="B32" i="9"/>
  <c r="B30" i="9"/>
  <c r="Q31" i="9"/>
  <c r="G34" i="8" l="1"/>
  <c r="F29" i="8"/>
  <c r="G49" i="8"/>
  <c r="H49" i="8" s="1"/>
  <c r="H121" i="8" l="1"/>
  <c r="G79" i="8" l="1"/>
  <c r="G38" i="8"/>
  <c r="G37" i="8"/>
  <c r="B29" i="8"/>
  <c r="C29" i="8"/>
  <c r="A21" i="10" s="1"/>
  <c r="F26" i="8"/>
  <c r="B20" i="8"/>
  <c r="D18" i="8"/>
  <c r="D11" i="10" s="1"/>
  <c r="H79" i="8" l="1"/>
  <c r="H37" i="8"/>
  <c r="H38" i="8"/>
  <c r="G76" i="8"/>
  <c r="G77" i="8"/>
  <c r="G123" i="8"/>
  <c r="H77" i="8" l="1"/>
  <c r="H76" i="8"/>
  <c r="H123" i="8"/>
  <c r="H124" i="8" s="1"/>
  <c r="F34" i="9" s="1"/>
  <c r="G34" i="9" s="1"/>
  <c r="I34" i="9" l="1"/>
  <c r="M34" i="9"/>
  <c r="J34" i="9"/>
  <c r="N34" i="9"/>
  <c r="K34" i="9"/>
  <c r="O34" i="9"/>
  <c r="L34" i="9"/>
  <c r="P34" i="9"/>
  <c r="B26" i="8" l="1"/>
  <c r="C26" i="8"/>
  <c r="A18" i="10" s="1"/>
  <c r="C20" i="8"/>
  <c r="A13" i="10" s="1"/>
  <c r="G92" i="8" l="1"/>
  <c r="H92" i="8" l="1"/>
  <c r="G101" i="8"/>
  <c r="D112" i="8"/>
  <c r="D95" i="10" s="1"/>
  <c r="H101" i="8" l="1"/>
  <c r="G9" i="8"/>
  <c r="G12" i="8"/>
  <c r="G13" i="8"/>
  <c r="G14" i="8"/>
  <c r="G15" i="8"/>
  <c r="G18" i="8"/>
  <c r="G19" i="8"/>
  <c r="G20" i="8"/>
  <c r="G21" i="8"/>
  <c r="G22" i="8"/>
  <c r="G23" i="8"/>
  <c r="G26" i="8"/>
  <c r="G27" i="8"/>
  <c r="G31" i="8"/>
  <c r="G35" i="8"/>
  <c r="G36" i="8"/>
  <c r="G39" i="8"/>
  <c r="G40" i="8"/>
  <c r="G43" i="8"/>
  <c r="G48" i="8"/>
  <c r="H48" i="8" s="1"/>
  <c r="G53" i="8"/>
  <c r="H53" i="8" s="1"/>
  <c r="G54" i="8"/>
  <c r="H54" i="8" s="1"/>
  <c r="G55" i="8"/>
  <c r="H55" i="8" s="1"/>
  <c r="G58" i="8"/>
  <c r="G59" i="8"/>
  <c r="G61" i="8"/>
  <c r="G62" i="8"/>
  <c r="G63" i="8"/>
  <c r="G64" i="8"/>
  <c r="G65" i="8"/>
  <c r="G66" i="8"/>
  <c r="G67" i="8"/>
  <c r="G68" i="8"/>
  <c r="G69" i="8"/>
  <c r="G70" i="8"/>
  <c r="G71" i="8"/>
  <c r="G72" i="8"/>
  <c r="G73" i="8"/>
  <c r="G74" i="8"/>
  <c r="G75" i="8"/>
  <c r="G82" i="8"/>
  <c r="G83" i="8"/>
  <c r="G84" i="8"/>
  <c r="G85" i="8"/>
  <c r="G86" i="8"/>
  <c r="G87" i="8"/>
  <c r="G88" i="8"/>
  <c r="G89" i="8"/>
  <c r="G90" i="8"/>
  <c r="G91" i="8"/>
  <c r="G93" i="8"/>
  <c r="G96" i="8"/>
  <c r="G97" i="8"/>
  <c r="G98" i="8"/>
  <c r="G102" i="8"/>
  <c r="G103" i="8"/>
  <c r="G107" i="8"/>
  <c r="G108" i="8"/>
  <c r="G109" i="8"/>
  <c r="G112" i="8"/>
  <c r="G113" i="8"/>
  <c r="G114" i="8"/>
  <c r="G8" i="8"/>
  <c r="H56" i="8" l="1"/>
  <c r="H12" i="8"/>
  <c r="H36" i="8"/>
  <c r="B12" i="9" l="1"/>
  <c r="F60" i="8"/>
  <c r="G60" i="8" s="1"/>
  <c r="E108" i="8" l="1"/>
  <c r="B3" i="9"/>
  <c r="B4" i="9"/>
  <c r="D14" i="8"/>
  <c r="D8" i="10" s="1"/>
  <c r="B28" i="8"/>
  <c r="F28" i="8"/>
  <c r="G28" i="8" s="1"/>
  <c r="C28" i="8"/>
  <c r="A20" i="10" s="1"/>
  <c r="H14" i="8" l="1"/>
  <c r="H35" i="8" l="1"/>
  <c r="F32" i="9"/>
  <c r="G32" i="9" s="1"/>
  <c r="Q9" i="9"/>
  <c r="P36" i="9"/>
  <c r="P38" i="9"/>
  <c r="P40" i="9"/>
  <c r="P42" i="9"/>
  <c r="Q25" i="9"/>
  <c r="Q23" i="9"/>
  <c r="Q15" i="9"/>
  <c r="Q17" i="9"/>
  <c r="Q11" i="9"/>
  <c r="Q42" i="9"/>
  <c r="I42" i="9"/>
  <c r="H42" i="9"/>
  <c r="G42" i="9"/>
  <c r="Q41" i="9"/>
  <c r="Q40" i="9" s="1"/>
  <c r="I40" i="9"/>
  <c r="H40" i="9"/>
  <c r="G40" i="9"/>
  <c r="Q39" i="9"/>
  <c r="Q38" i="9" s="1"/>
  <c r="I38" i="9"/>
  <c r="H38" i="9"/>
  <c r="G38" i="9"/>
  <c r="Q37" i="9"/>
  <c r="Q36" i="9" s="1"/>
  <c r="I36" i="9"/>
  <c r="H36" i="9"/>
  <c r="G36" i="9"/>
  <c r="Q35" i="9"/>
  <c r="Q33" i="9"/>
  <c r="Q29" i="9"/>
  <c r="Q21" i="9"/>
  <c r="Q19" i="9"/>
  <c r="A6" i="9"/>
  <c r="A4" i="9"/>
  <c r="A3" i="9"/>
  <c r="I32" i="9" l="1"/>
  <c r="M32" i="9"/>
  <c r="J32" i="9"/>
  <c r="N32" i="9"/>
  <c r="K32" i="9"/>
  <c r="O32" i="9"/>
  <c r="L32" i="9"/>
  <c r="P32" i="9"/>
  <c r="G29" i="8" l="1"/>
  <c r="H114" i="8" l="1"/>
  <c r="H83" i="8"/>
  <c r="H85" i="8" s="1"/>
  <c r="H89" i="8" s="1"/>
  <c r="H91" i="8" s="1"/>
  <c r="H8" i="8"/>
  <c r="H109" i="8"/>
  <c r="H103" i="8"/>
  <c r="H98" i="8"/>
  <c r="H60" i="8"/>
  <c r="H63" i="8" s="1"/>
  <c r="H66" i="8" s="1"/>
  <c r="H68" i="8" s="1"/>
  <c r="H70" i="8" s="1"/>
  <c r="H73" i="8" s="1"/>
  <c r="H75" i="8" s="1"/>
  <c r="H23" i="8"/>
  <c r="H26" i="8" s="1"/>
  <c r="H20" i="8"/>
  <c r="H9" i="8"/>
  <c r="H28" i="8"/>
  <c r="H10" i="8" l="1"/>
  <c r="H112" i="8"/>
  <c r="H107" i="8"/>
  <c r="H13" i="8"/>
  <c r="F6" i="9" l="1"/>
  <c r="I6" i="9" l="1"/>
  <c r="M6" i="9"/>
  <c r="H6" i="9"/>
  <c r="J6" i="9"/>
  <c r="N6" i="9"/>
  <c r="K6" i="9"/>
  <c r="O6" i="9"/>
  <c r="L6" i="9"/>
  <c r="P6" i="9"/>
  <c r="Q6" i="9"/>
  <c r="G6" i="9"/>
  <c r="H15" i="8" l="1"/>
  <c r="H16" i="8" l="1"/>
  <c r="H18" i="8"/>
  <c r="H21" i="8" l="1"/>
  <c r="F8" i="9"/>
  <c r="H19" i="8"/>
  <c r="L8" i="9" l="1"/>
  <c r="P8" i="9"/>
  <c r="J8" i="9"/>
  <c r="K8" i="9"/>
  <c r="O8" i="9"/>
  <c r="I8" i="9"/>
  <c r="M8" i="9"/>
  <c r="N8" i="9"/>
  <c r="H8" i="9"/>
  <c r="G8" i="9"/>
  <c r="Q8" i="9"/>
  <c r="H29" i="8" l="1"/>
  <c r="H34" i="8" l="1"/>
  <c r="H22" i="8"/>
  <c r="H24" i="8" l="1"/>
  <c r="H39" i="8"/>
  <c r="H27" i="8" l="1"/>
  <c r="F10" i="9"/>
  <c r="G10" i="9" s="1"/>
  <c r="I10" i="9" l="1"/>
  <c r="M10" i="9"/>
  <c r="J10" i="9"/>
  <c r="N10" i="9"/>
  <c r="K10" i="9"/>
  <c r="O10" i="9"/>
  <c r="L10" i="9"/>
  <c r="P10" i="9"/>
  <c r="H31" i="8"/>
  <c r="H32" i="8" s="1"/>
  <c r="H10" i="9"/>
  <c r="Q10" i="9"/>
  <c r="F12" i="9" l="1"/>
  <c r="G12" i="9" s="1"/>
  <c r="I12" i="9" l="1"/>
  <c r="M12" i="9"/>
  <c r="J12" i="9"/>
  <c r="N12" i="9"/>
  <c r="K12" i="9"/>
  <c r="O12" i="9"/>
  <c r="L12" i="9"/>
  <c r="P12" i="9"/>
  <c r="H12" i="9"/>
  <c r="H40" i="8"/>
  <c r="H41" i="8" s="1"/>
  <c r="H43" i="8" l="1"/>
  <c r="H46" i="8" s="1"/>
  <c r="F14" i="9"/>
  <c r="G14" i="9" s="1"/>
  <c r="I14" i="9" l="1"/>
  <c r="M14" i="9"/>
  <c r="J14" i="9"/>
  <c r="N14" i="9"/>
  <c r="K14" i="9"/>
  <c r="O14" i="9"/>
  <c r="L14" i="9"/>
  <c r="P14" i="9"/>
  <c r="F16" i="9"/>
  <c r="G16" i="9" s="1"/>
  <c r="Q14" i="9"/>
  <c r="H14" i="9"/>
  <c r="I16" i="9" l="1"/>
  <c r="M16" i="9"/>
  <c r="J16" i="9"/>
  <c r="N16" i="9"/>
  <c r="K16" i="9"/>
  <c r="O16" i="9"/>
  <c r="L16" i="9"/>
  <c r="P16" i="9"/>
  <c r="Q16" i="9"/>
  <c r="H16" i="9"/>
  <c r="H61" i="8" l="1"/>
  <c r="H64" i="8" s="1"/>
  <c r="H67" i="8" s="1"/>
  <c r="H69" i="8" s="1"/>
  <c r="H71" i="8" s="1"/>
  <c r="H59" i="8"/>
  <c r="H62" i="8" s="1"/>
  <c r="H65" i="8" s="1"/>
  <c r="H72" i="8" s="1"/>
  <c r="Q13" i="9"/>
  <c r="Q12" i="9" s="1"/>
  <c r="H58" i="8" l="1"/>
  <c r="F18" i="9"/>
  <c r="H74" i="8"/>
  <c r="H84" i="8"/>
  <c r="H86" i="8" s="1"/>
  <c r="H88" i="8" s="1"/>
  <c r="H90" i="8" s="1"/>
  <c r="H82" i="8"/>
  <c r="H80" i="8" l="1"/>
  <c r="I18" i="9"/>
  <c r="M18" i="9"/>
  <c r="J18" i="9"/>
  <c r="N18" i="9"/>
  <c r="K18" i="9"/>
  <c r="O18" i="9"/>
  <c r="L18" i="9"/>
  <c r="P18" i="9"/>
  <c r="H87" i="8"/>
  <c r="H93" i="8" s="1"/>
  <c r="H96" i="8" s="1"/>
  <c r="Q18" i="9"/>
  <c r="H18" i="9"/>
  <c r="H97" i="8"/>
  <c r="H99" i="8" l="1"/>
  <c r="F24" i="9" s="1"/>
  <c r="G24" i="9" s="1"/>
  <c r="H94" i="8"/>
  <c r="F22" i="9" s="1"/>
  <c r="G22" i="9" s="1"/>
  <c r="F20" i="9"/>
  <c r="G20" i="9" s="1"/>
  <c r="H102" i="8"/>
  <c r="H105" i="8" s="1"/>
  <c r="I24" i="9" l="1"/>
  <c r="M24" i="9"/>
  <c r="J24" i="9"/>
  <c r="N24" i="9"/>
  <c r="K24" i="9"/>
  <c r="O24" i="9"/>
  <c r="L24" i="9"/>
  <c r="P24" i="9"/>
  <c r="I20" i="9"/>
  <c r="M20" i="9"/>
  <c r="J20" i="9"/>
  <c r="N20" i="9"/>
  <c r="K20" i="9"/>
  <c r="O20" i="9"/>
  <c r="L20" i="9"/>
  <c r="P20" i="9"/>
  <c r="I22" i="9"/>
  <c r="M22" i="9"/>
  <c r="J22" i="9"/>
  <c r="N22" i="9"/>
  <c r="K22" i="9"/>
  <c r="O22" i="9"/>
  <c r="L22" i="9"/>
  <c r="P22" i="9"/>
  <c r="Q22" i="9"/>
  <c r="H22" i="9"/>
  <c r="Q20" i="9"/>
  <c r="H20" i="9"/>
  <c r="Q24" i="9"/>
  <c r="H24" i="9"/>
  <c r="H108" i="8" l="1"/>
  <c r="F26" i="9"/>
  <c r="G26" i="9" s="1"/>
  <c r="H110" i="8" l="1"/>
  <c r="I26" i="9"/>
  <c r="M26" i="9"/>
  <c r="J26" i="9"/>
  <c r="N26" i="9"/>
  <c r="K26" i="9"/>
  <c r="O26" i="9"/>
  <c r="P26" i="9"/>
  <c r="L26" i="9"/>
  <c r="H26" i="9"/>
  <c r="Q26" i="9"/>
  <c r="H113" i="8" l="1"/>
  <c r="H115" i="8" s="1"/>
  <c r="H125" i="8" s="1"/>
  <c r="F28" i="9"/>
  <c r="G28" i="9" s="1"/>
  <c r="I28" i="9" l="1"/>
  <c r="M28" i="9"/>
  <c r="J28" i="9"/>
  <c r="N28" i="9"/>
  <c r="K28" i="9"/>
  <c r="O28" i="9"/>
  <c r="L28" i="9"/>
  <c r="P28" i="9"/>
  <c r="H28" i="9"/>
  <c r="Q28" i="9"/>
  <c r="F30" i="9" l="1"/>
  <c r="G30" i="9" s="1"/>
  <c r="G44" i="9" s="1"/>
  <c r="I30" i="9" l="1"/>
  <c r="I44" i="9" s="1"/>
  <c r="M30" i="9"/>
  <c r="M44" i="9" s="1"/>
  <c r="J30" i="9"/>
  <c r="J44" i="9" s="1"/>
  <c r="N30" i="9"/>
  <c r="N44" i="9" s="1"/>
  <c r="K30" i="9"/>
  <c r="K44" i="9" s="1"/>
  <c r="O30" i="9"/>
  <c r="O44" i="9" s="1"/>
  <c r="H30" i="9"/>
  <c r="L30" i="9"/>
  <c r="L44" i="9" s="1"/>
  <c r="P30" i="9"/>
  <c r="Q30" i="9"/>
  <c r="H32" i="9"/>
  <c r="Q32" i="9"/>
  <c r="F44" i="9" l="1"/>
  <c r="Q34" i="9"/>
  <c r="Q44" i="9" s="1"/>
  <c r="P44" i="9"/>
  <c r="H34" i="9"/>
  <c r="H44" i="9" s="1"/>
  <c r="I46" i="9" l="1"/>
  <c r="N46" i="9"/>
  <c r="J46" i="9"/>
  <c r="K46" i="9"/>
  <c r="M46" i="9"/>
  <c r="L46" i="9"/>
  <c r="O46" i="9"/>
  <c r="G46" i="9"/>
  <c r="G45" i="9"/>
  <c r="H46" i="9"/>
  <c r="P46" i="9"/>
  <c r="G47" i="9" l="1"/>
  <c r="H45" i="9"/>
  <c r="I45" i="9" s="1"/>
  <c r="H47" i="9" l="1"/>
  <c r="J45" i="9"/>
  <c r="I47" i="9"/>
  <c r="N45" i="9"/>
  <c r="K45" i="9" l="1"/>
  <c r="J47" i="9"/>
  <c r="N47" i="9"/>
  <c r="O45" i="9"/>
  <c r="L45" i="9" l="1"/>
  <c r="K47" i="9"/>
  <c r="O47" i="9"/>
  <c r="P45" i="9"/>
  <c r="P47" i="9" s="1"/>
  <c r="L47" i="9" l="1"/>
  <c r="M45" i="9"/>
  <c r="M47" i="9" s="1"/>
</calcChain>
</file>

<file path=xl/comments1.xml><?xml version="1.0" encoding="utf-8"?>
<comments xmlns="http://schemas.openxmlformats.org/spreadsheetml/2006/main">
  <authors>
    <author>Beatryz</author>
  </authors>
  <commentList>
    <comment ref="C82" authorId="0" shapeId="0">
      <text>
        <r>
          <rPr>
            <b/>
            <sz val="9"/>
            <color indexed="81"/>
            <rFont val="Segoe UI"/>
            <family val="2"/>
          </rPr>
          <t>Beatryz:</t>
        </r>
        <r>
          <rPr>
            <sz val="9"/>
            <color indexed="81"/>
            <rFont val="Segoe UI"/>
            <family val="2"/>
          </rPr>
          <t xml:space="preserve">
PRECISA? QUAL É O TIPO?
</t>
        </r>
      </text>
    </comment>
  </commentList>
</comments>
</file>

<file path=xl/sharedStrings.xml><?xml version="1.0" encoding="utf-8"?>
<sst xmlns="http://schemas.openxmlformats.org/spreadsheetml/2006/main" count="458" uniqueCount="343">
  <si>
    <t>Itens</t>
  </si>
  <si>
    <t>M2</t>
  </si>
  <si>
    <t>TOTAL</t>
  </si>
  <si>
    <t>MOVIMENTO DE TERRA</t>
  </si>
  <si>
    <t>M3</t>
  </si>
  <si>
    <t>PISOS</t>
  </si>
  <si>
    <t>M</t>
  </si>
  <si>
    <t>PINTURAS</t>
  </si>
  <si>
    <t>SERVIÇOS COMPLEMENTARES</t>
  </si>
  <si>
    <t>7.1</t>
  </si>
  <si>
    <t>FUNDAÇÕES</t>
  </si>
  <si>
    <t>KG</t>
  </si>
  <si>
    <t>PAREDES E PAINEIS</t>
  </si>
  <si>
    <t>ESQUADRIAS E FERRAGENS</t>
  </si>
  <si>
    <t>UN</t>
  </si>
  <si>
    <t>INSTALAÇÕES HIDROSSANITÁRIAS</t>
  </si>
  <si>
    <t>PT</t>
  </si>
  <si>
    <t>INSTALAÇÕES ELÉTRICAS</t>
  </si>
  <si>
    <t>8.1</t>
  </si>
  <si>
    <t>REVESTIMENTOS</t>
  </si>
  <si>
    <t>9.1</t>
  </si>
  <si>
    <t>9.2</t>
  </si>
  <si>
    <t>10.1</t>
  </si>
  <si>
    <t>10.2</t>
  </si>
  <si>
    <t>PREFEITURA MUNICIPAL DE NOVORIZONTE</t>
  </si>
  <si>
    <t>OBRA:</t>
  </si>
  <si>
    <t>LOCAL:</t>
  </si>
  <si>
    <t>DATA:</t>
  </si>
  <si>
    <t>BDI:</t>
  </si>
  <si>
    <t>Und</t>
  </si>
  <si>
    <t>PONTO SECO PARA INSTALAÇÃO DE SOM, TV, ALARME E LÓGICA, INCLUINDO ELETRODUTO DE PVC FLEXÍVEL CORRUGADO E CAIXA COM ESPELHO</t>
  </si>
  <si>
    <t>74130/001</t>
  </si>
  <si>
    <t>DISJUNTOR TERMOMAGNETICO MONOPOLAR PADRAO NEMA (AMERICANO) 10 A 30A 240V, FORNECIMENTO E INSTALACAO</t>
  </si>
  <si>
    <t>11.2</t>
  </si>
  <si>
    <t>COBERTURA</t>
  </si>
  <si>
    <t>Quant</t>
  </si>
  <si>
    <t>9.3</t>
  </si>
  <si>
    <t>10.3</t>
  </si>
  <si>
    <t>12.1</t>
  </si>
  <si>
    <t>13.1</t>
  </si>
  <si>
    <t>OBSERVAÇÕES:</t>
  </si>
  <si>
    <t>* INST-STVAL-010</t>
  </si>
  <si>
    <t>CAIXA ALVENARIA 40 X 40 X 40 CM, TAMPA EM CONCRETOINSPEÇÃO/PASSAGEM, INCLUSIVE ESCAVAÇÃO, REATERRO E BOTA-FORA</t>
  </si>
  <si>
    <t>CRONOGRAMA FÍSICO FINANCEIRO</t>
  </si>
  <si>
    <t>PERÍODO</t>
  </si>
  <si>
    <t>ITEM</t>
  </si>
  <si>
    <t>DISCRIMINAÇÃO DOS SERVIÇOS</t>
  </si>
  <si>
    <t>MÊS 01</t>
  </si>
  <si>
    <t>MÊS 02</t>
  </si>
  <si>
    <t>MÊS 03</t>
  </si>
  <si>
    <t>MÊS 04</t>
  </si>
  <si>
    <t>MÊS 05</t>
  </si>
  <si>
    <t>MÊS 06</t>
  </si>
  <si>
    <t>SUB-TOTAL</t>
  </si>
  <si>
    <t>VALOR DO PERÍODO</t>
  </si>
  <si>
    <t>VALOR ACUMULADO</t>
  </si>
  <si>
    <t>PERCENTUAL DO PERÍODO</t>
  </si>
  <si>
    <t>PERCENTUAL ACUMULADO</t>
  </si>
  <si>
    <t>VALOR</t>
  </si>
  <si>
    <t>Total</t>
  </si>
  <si>
    <t>11.3</t>
  </si>
  <si>
    <t>11.4</t>
  </si>
  <si>
    <t>TOTAL GERAL COM B.D.I.</t>
  </si>
  <si>
    <t>P. unit. s/ BDI</t>
  </si>
  <si>
    <t>P. unit. c/ BDI</t>
  </si>
  <si>
    <t>8.3</t>
  </si>
  <si>
    <t>1.1</t>
  </si>
  <si>
    <t xml:space="preserve">74070/004 </t>
  </si>
  <si>
    <t xml:space="preserve">PONTO DE ESGOTO, INCLUINDO TUBO DE PVC RÍGIDO SOLDÁVEL DE 40 MM E CONEXÕES (LAVATÓRIOS, MICTÓRIOS, RALOS SIFONADOS, ETC.) </t>
  </si>
  <si>
    <t xml:space="preserve">PONTO DE ESGOTO, INCLUINDO TUBO DE PVC RÍGIDO SOLDÁVEL DE 50 MM E CONEXÕES (PIAS DE COZINHA, MÁQUINAS DE LAVAR, ETC.) </t>
  </si>
  <si>
    <t xml:space="preserve">PONTO DE ESGOTO, INCLUINDO TUBO DE PVC RÍGIDO SOLDÁVEL DE 100 MM E CONEXÕES (VASO SANITÁRIO) </t>
  </si>
  <si>
    <t>CAIXA D´ÁGUA EM POLIETILENO, 1000 LITROS, COM ACESSÓRIOS</t>
  </si>
  <si>
    <t>CAIXA DE PASSAGEM 20X20X25 FUNDO BRITA COM TAMPA</t>
  </si>
  <si>
    <t>DISJUNTOR TERMOMAGNETICO BIPOLAR PADRAO NEMA (AMERICANO) 10 A 50A 240V, FORNECIMENTO E INSTALACAO</t>
  </si>
  <si>
    <t xml:space="preserve">74130/003 </t>
  </si>
  <si>
    <t xml:space="preserve">PONTO DE ÁGUA FRIA EMBUTIDO, INCLUINDO TUBO DE PVC RÍGIDO ROSCÁVEL E CONEXÕES </t>
  </si>
  <si>
    <t>2.2</t>
  </si>
  <si>
    <t>2.1</t>
  </si>
  <si>
    <t>5.4</t>
  </si>
  <si>
    <t>2.3</t>
  </si>
  <si>
    <t>3.1</t>
  </si>
  <si>
    <t>3.2</t>
  </si>
  <si>
    <t>3.3</t>
  </si>
  <si>
    <t>3.4</t>
  </si>
  <si>
    <t>3.5</t>
  </si>
  <si>
    <t>4.1</t>
  </si>
  <si>
    <t>4.2</t>
  </si>
  <si>
    <t>4.3</t>
  </si>
  <si>
    <t>4.4</t>
  </si>
  <si>
    <t>4.5</t>
  </si>
  <si>
    <t>5.1</t>
  </si>
  <si>
    <t>5.2</t>
  </si>
  <si>
    <t>5.3</t>
  </si>
  <si>
    <t>6.1</t>
  </si>
  <si>
    <t>7.2</t>
  </si>
  <si>
    <t>7.3</t>
  </si>
  <si>
    <t>7.4</t>
  </si>
  <si>
    <t>8.2</t>
  </si>
  <si>
    <t>8.4</t>
  </si>
  <si>
    <t>8.5</t>
  </si>
  <si>
    <t>8.6</t>
  </si>
  <si>
    <t>8.7</t>
  </si>
  <si>
    <t>8.8</t>
  </si>
  <si>
    <t>8.9</t>
  </si>
  <si>
    <t>8.10</t>
  </si>
  <si>
    <t>8.11</t>
  </si>
  <si>
    <t>8.12</t>
  </si>
  <si>
    <t>8.13</t>
  </si>
  <si>
    <t>8.14</t>
  </si>
  <si>
    <t>8.15</t>
  </si>
  <si>
    <t>8.16</t>
  </si>
  <si>
    <t>8.17</t>
  </si>
  <si>
    <t>8.18</t>
  </si>
  <si>
    <t>8.19</t>
  </si>
  <si>
    <t>8.20</t>
  </si>
  <si>
    <t>8.21</t>
  </si>
  <si>
    <t>8.22</t>
  </si>
  <si>
    <t>9.5</t>
  </si>
  <si>
    <t>9.6</t>
  </si>
  <si>
    <t>9.7</t>
  </si>
  <si>
    <t>9.9</t>
  </si>
  <si>
    <t>9.10</t>
  </si>
  <si>
    <t>9.11</t>
  </si>
  <si>
    <t>9.15</t>
  </si>
  <si>
    <t>9.16</t>
  </si>
  <si>
    <t>12.2</t>
  </si>
  <si>
    <t>12.3</t>
  </si>
  <si>
    <t>*INST-TOM-005</t>
  </si>
  <si>
    <t xml:space="preserve">*INST-LUZ-005 </t>
  </si>
  <si>
    <t xml:space="preserve">*INST-INT-005 </t>
  </si>
  <si>
    <t>7.5</t>
  </si>
  <si>
    <t>7.6</t>
  </si>
  <si>
    <t>7.7</t>
  </si>
  <si>
    <t>ESPELHO CRISTAL, ESPESSURA 4MM, COM PARAFUSOS DE FIXACAO, SEM MOLDURA</t>
  </si>
  <si>
    <t xml:space="preserve">DUCHA HIGIÊNICA COM REGISTRO PARA CONTROLE DE FLUXO DE ÁGUA 1/2" </t>
  </si>
  <si>
    <t>SERVIÇOS PRELIMINARES</t>
  </si>
  <si>
    <t>SOLEIRA DE GRANITO CINZA ANDORINHA E = 2 CM</t>
  </si>
  <si>
    <t>13.2</t>
  </si>
  <si>
    <t>PAI-MUD-060</t>
  </si>
  <si>
    <t>FORNECIMENTO DE PALMEIRA ARECA LUTESCENS</t>
  </si>
  <si>
    <t>13.3</t>
  </si>
  <si>
    <t>74073/001</t>
  </si>
  <si>
    <t>ALCAPAO EM FERRO 60X60CM, INCLUSO FERRAGENS</t>
  </si>
  <si>
    <t>7.8</t>
  </si>
  <si>
    <t>11.5</t>
  </si>
  <si>
    <t>1.2</t>
  </si>
  <si>
    <t>2.4</t>
  </si>
  <si>
    <t>COB-TEL-045</t>
  </si>
  <si>
    <t>MURO EXTERNO</t>
  </si>
  <si>
    <t>SER-POR-095</t>
  </si>
  <si>
    <t>6.3</t>
  </si>
  <si>
    <t>Ref.</t>
  </si>
  <si>
    <t>PONTO DE INTERRUPTOR, INCLUINDO ELETRODUTO DE PVC RÍGIDO E CAIXA COM ESPELHO</t>
  </si>
  <si>
    <t>PONTO DE TOMADA DE EMBUTIR, INCLUINDO ELETRODUTO DE PVC RÍGIDO E CAIXA COM ESPELHO</t>
  </si>
  <si>
    <t>3.6</t>
  </si>
  <si>
    <t>Descrição</t>
  </si>
  <si>
    <t>CHAPISCO APLICADO EM ALVENARIAS E ESTRUTURAS DE CONCRETO INTERNAS, COM COLHER DE PEDREIRO.  ARGAMASSA TRAÇO 1:3 COM PREPARO EM BETONEIRA 400 L. AF_06/2014</t>
  </si>
  <si>
    <t>MASSA ÚNICA, PARA RECEBIMENTO DE PINTURA, EM ARGAMASSA TRAÇO 1:2:8, PREPARO MECÂNICO COM BETONEIRA 400L, APLICADA MANUALMENTE EM FACES INTERNAS DE PAREDES, ESPESSURA DE 20MM, COM EXECUÇÃO DE TALISCAS. AF_06/2014</t>
  </si>
  <si>
    <t>TORNEIRA DE BOIA VAZAO TOTAL 1/2 COM BALAO PLASTICO - FORNECIMENTO E INSTALAÇÃO</t>
  </si>
  <si>
    <t>ESTRUTURA</t>
  </si>
  <si>
    <t>SISTEMA DE PROTEÇÃO CONTRA INCÊNDIO</t>
  </si>
  <si>
    <t>INC-LUM-005</t>
  </si>
  <si>
    <t>LUMINÁRIA DE EMERGÊNCIA AUTÔNOMA IE-16 COM LÂMPADA DE 8 W</t>
  </si>
  <si>
    <t>INC-PLA-005</t>
  </si>
  <si>
    <t>PLACA FOTOLUMINESCENTE, CONFORME PROJETO.</t>
  </si>
  <si>
    <t xml:space="preserve">HID-CXS-020 </t>
  </si>
  <si>
    <t xml:space="preserve">MET-DUC-005 </t>
  </si>
  <si>
    <t xml:space="preserve">INST-ESG-005 </t>
  </si>
  <si>
    <t xml:space="preserve">INST-ESG-010 </t>
  </si>
  <si>
    <t xml:space="preserve">INST-ESG-015 </t>
  </si>
  <si>
    <t xml:space="preserve">INST-AGU-010  </t>
  </si>
  <si>
    <t>EXTINTOR INCENDIO TP PO QUIMICO 6KG - FORNECIMENTO E INSTALACAO</t>
  </si>
  <si>
    <t>73924/003</t>
  </si>
  <si>
    <t>9.17</t>
  </si>
  <si>
    <t>LOCAÇÃO DA OBRA (GABARITO)</t>
  </si>
  <si>
    <t>LOC-OBR-005</t>
  </si>
  <si>
    <t>FORMA E DESFORMA EM TÁBUAS DE PINHO (3X)</t>
  </si>
  <si>
    <t>FUN-FOR-005</t>
  </si>
  <si>
    <t>CORTE, DOBRA E ARMAÇÃO DE AÇO CA-50/60</t>
  </si>
  <si>
    <t>ARM-AÇO-020</t>
  </si>
  <si>
    <t>ED-8504</t>
  </si>
  <si>
    <t>ED-8486</t>
  </si>
  <si>
    <t>LANÇAMENTO DE CONCRETO EM ESTRUTURA, INCLUSIVE TRANSPORTE ATÉ O LOCAL DE APLICAÇÃO, EXCLUSIVE APLICAÇÃO</t>
  </si>
  <si>
    <t>ALVENARIA DE VEDAÇÃO COM BLOCO DE CONCRETO, ESP. 14CM, PARA REVESTIMENTO, INCLUSIVE ARGAMASSA PARA ASSENTAMENTO</t>
  </si>
  <si>
    <t>ALV-BLO-010</t>
  </si>
  <si>
    <t>IIO-PLA-005</t>
  </si>
  <si>
    <t>TER-ESC-035</t>
  </si>
  <si>
    <t>ESCAVAÇÃO MANUAL DE VALAS H &lt;= 1,50 M</t>
  </si>
  <si>
    <t>TER-REA-005</t>
  </si>
  <si>
    <t>REATERRO MANUAL DE VALA</t>
  </si>
  <si>
    <t>TER-REG-005</t>
  </si>
  <si>
    <t>REGULARIZAÇÃO E COMPACTAÇÃO DE TERRENO MANUAL, COM SOQUETE</t>
  </si>
  <si>
    <t>14.5</t>
  </si>
  <si>
    <t>15.1</t>
  </si>
  <si>
    <t>LASTRO DE CONCRETO MAGRO, INCLUSIVE TRANSPORTE, LANÇAMENTO E ADENSAMENTO</t>
  </si>
  <si>
    <t>FUN-LAS-005</t>
  </si>
  <si>
    <t>FORNECIMENTO, FABRICAÇÃO, TRANSPORTE E MONTAGEM DE ESTRUTURA METÁLICA PARA TELHADO SOBRE LAJE PARA TELHAS METÁLICAS, INCLUSIVE PINTURA PRIMER</t>
  </si>
  <si>
    <t>EST-MET-035</t>
  </si>
  <si>
    <t>CONCRETO ESTRUTURAL, PREPARADO EM OBRA COM BETONEIRA, CONTROLE "A", COM FCK 20 MPA ,BRITA Nº (1E2), CONSISTÊNCIA PARA VIBRAÇÃO (FABRICAÇÃO)</t>
  </si>
  <si>
    <t>PINTURA COM EMULSÃO ASFÁLTICA, DUAS (2) DEMÃOS</t>
  </si>
  <si>
    <t>IMP-PIN-005</t>
  </si>
  <si>
    <t>LAJ-REV-005</t>
  </si>
  <si>
    <t>COBERTURA EM TELHA METÁLICA GALVANIZADA TRAPEZOIDAL, TIPO SIMPLES, ESP. 0,50MM, ACABAMENTO NATURAL, INCLUSIVE ACESSÓRIOS PARA FIXAÇÃO, FORNECIMENTO E INSTALAÇÃO</t>
  </si>
  <si>
    <t>COLOCAÇÃO DE CUMEEIRA GALVANIZADA TRAPEZOIDAL E=0,50MM, SIMPLES</t>
  </si>
  <si>
    <t>COB-CUM-015</t>
  </si>
  <si>
    <t>PLU-RUF-005</t>
  </si>
  <si>
    <t>PLU-CAL-075</t>
  </si>
  <si>
    <t>CALHA DE CHAPA GALVANIZADA Nº. 26 GSG, DESENVOLVIMENTO= 50 CM</t>
  </si>
  <si>
    <t>RUFO E CONTRA-RUFO DE CHAPA GALVANIZADA Nº.24, DESENVOLVIMENTO = 15 CM</t>
  </si>
  <si>
    <t>PLU-CON-006</t>
  </si>
  <si>
    <t>CONDUTOR DE AP DO TELHADO EM TUBO PVC ESGOTO, INCLUSIVE CONEXÕES E SUPORTES, 75 MM</t>
  </si>
  <si>
    <t>PLU-CHA-005</t>
  </si>
  <si>
    <t>CHAPIM METÁLICO, COM PINGADEIRA, CHAPA GALVANIZADA Nº 24, DESENVOLVIMENTO = 35 CM</t>
  </si>
  <si>
    <t>REGISTRO DE GAVETA BRUTO, LATÃO, ROSCÁVEL, 1 1/2", COM ACABAMENTO E CANOPLA CROMADOS, INSTALADO EM RESERVAÇÃO DE ÁGUA DE EDIFICAÇÃO QUE POSSUA RESERVATÓRIO DE FIBRA/FIBROCIMENTO FORNECIMENTO E INSTALAÇÃO. AF_06/2016</t>
  </si>
  <si>
    <t>REGISTRO DE PRESSÃO BRUTO, LATÃO, ROSCÁVEL, 1/2", COM ACABAMENTO E CANOPLA CROMADOS. FORNECIDO E INSTALADO EM RAMAL DE ÁGUA. AF_12/2014</t>
  </si>
  <si>
    <t>CAIXA DE GORDURA SIMPLES (CAPACIDADE: 36 L), RETANGULAR, EM ALVENARIA COM BLOCOS DE CONCRETO, DIMENSÕES INTERNAS = 0,2X0,4 M, ALTURA INTERNA = 0,8 M. AF_05/2018</t>
  </si>
  <si>
    <t>TUBO PVC, SERIE NORMAL, ESGOTO PREDIAL, DN 100 MM, FORNECIDO E INSTALADO EM RAMAL DE DESCARGA OU RAMAL DE ESGOTO SANITÁRIO. AF_12/2014</t>
  </si>
  <si>
    <t>LAJE PRÉ-MOLDADA, A REVESTIR, INCLUSIVE CAPEAMENTO E=4CM, SC = 100 KG/M2, L = 3,00 M</t>
  </si>
  <si>
    <t>REVESTIMENTO CERÂMICO PARA PAREDES INTERNAS COM PLACAS TIPO ESMALTADA EXTRA DE DIMENSÕES 33X45 CM APLICADAS EM AMBIENTES DE ÁREA MAIOR QUE 5 M² NA ALTURA INTEIRA DAS PAREDES. AF_06/2014</t>
  </si>
  <si>
    <t>REVESTIMENTO CERÂMICO PARA PISO COM PLACAS TIPO ESMALTADA EXTRA DE DIMENSÕES 45X45 CM APLICADA EM AMBIENTES DE ÁREA ENTRE 5 M2 E 10 M2. AF_06/2014</t>
  </si>
  <si>
    <t>PASSEIOS DE CONCRETO E = 6 CM, FCK = 10 MPA, JUNTA SECA</t>
  </si>
  <si>
    <t>URB-PAS-006</t>
  </si>
  <si>
    <t>VÁLVULA DE DESCARGA METÁLICA, BASE 1 1/2 ", ACABAMENTO METALICO CROMADO - FORNECIMENTO E INSTALAÇÃO. AF_01/2019</t>
  </si>
  <si>
    <t>CAIXA SIFONADA, PVC, DN 100 X 100 X 50 MM, JUNTA ELÁSTICA, FORNECIDA E INSTALADA EM RAMAL DE DESCARGA OU EM RAMAL DE ESGOTO SANITÁRIO. AF_12/2014</t>
  </si>
  <si>
    <t>VASO SANITARIO SIFONADO CONVENCIONAL COM LOUÇA BRANCA - FORNECIMENTO E INSTALAÇÃO. AF_10/2016</t>
  </si>
  <si>
    <t>LAVATÓRIO LOUÇA BRANCA SUSPENSO, 29,5 X 39CM OU EQUIVALENTE, PADRÃO POPULAR - FORNECIMENTO E INSTALAÇÃO. AF_12/2013</t>
  </si>
  <si>
    <t>BANCADA DE GRANITO CINZA POLIDO 150 X 60 CM, COM CUBA DE EMBUTIR DE AÇO INOXIDÁVEL MÉDIA, VÁLVULA AMERICANA EM METAL CROMADO, SIFÃO FLEXÍVEL EM PVC, ENGATE FLEXÍVEL 30 CM, TORNEIRA CROMADA LONGA DE PAREDE, 1/2 OU 3/4, PARA PIA DE COZINHA, PADRÃO POPULAR- FORNEC. E INSTAL. AF_12/2013</t>
  </si>
  <si>
    <t>TORNEIRA PLÁSTICA 3/4" PARA TANQUE - FORNECIMENTO E INSTALAÇÃO. AF_12/2013</t>
  </si>
  <si>
    <t>LOU-TAN-035</t>
  </si>
  <si>
    <t>LUMINÁRIA ARANDELA TIPO TARTARUGA, COM GRADE, PARA 1 LÂMPADA DE 15 W - FORNECIMENTO E INSTALAÇÃO. AF_11/201</t>
  </si>
  <si>
    <t>LIMPEZA FINAL PARA ENTREGA DA OBRA</t>
  </si>
  <si>
    <t>LIM-GER-005</t>
  </si>
  <si>
    <t>APLICAÇÃO MANUAL DE PINTURA COM TINTA LÁTEX ACRÍLICA EM PAREDES, DUAS DEMÃOS. AF_06/2014</t>
  </si>
  <si>
    <t>APLICAÇÃO DE FUNDO SELADOR ACRÍLICO EM PAREDES, UMA DEMÃO. AF_06/2014</t>
  </si>
  <si>
    <t>ATERRO COMPACTADO COM PLACA VIBRATÓRIA</t>
  </si>
  <si>
    <t>TER-ATE-010</t>
  </si>
  <si>
    <t>PLANILHA ORÇAMENTÁRIA</t>
  </si>
  <si>
    <t>REFERÊNCIA TÉCNICA SINAPI OUT/19 E SETOP 11/19</t>
  </si>
  <si>
    <t>5.5</t>
  </si>
  <si>
    <t>5.6</t>
  </si>
  <si>
    <t>5.7</t>
  </si>
  <si>
    <t>FECHADURA DE EMBUTIR COMPLETA, PARA PORTAS INTERNAS, PADRAO DE ACABAMENTO MEDIO</t>
  </si>
  <si>
    <t>PONTO DE LUZ EMBUTIDO, INCLUINDO ELETRODUTO DE PVC RÍGIDO E CAIXA COM ESPELHO (POR UNIDADE)</t>
  </si>
  <si>
    <t>MÊS 07</t>
  </si>
  <si>
    <t>MÊS 08</t>
  </si>
  <si>
    <t>MÊS 09</t>
  </si>
  <si>
    <t>MÊS 10</t>
  </si>
  <si>
    <t>ESTADO DE MINAS GERAIS</t>
  </si>
  <si>
    <t>CONSTRUÇÃO DE CAPELA VELÓRIO COM ÁREA CONSTRUÍDA DE 91,74M2</t>
  </si>
  <si>
    <t>RUA PACÍFICO SANTO DE ALMEIDA, S/Nº - CENTRO - NOVORIZONTE/MG</t>
  </si>
  <si>
    <t>FORNECIMENTO E COLOCAÇÃO DE PLACA DE OBRA EM CHAPA GALVANIZADA (2,00 X 1,00 M) - EM CHAPA GALVANIZADA 0,26 AFIXADAS COM REBITES 540 E PARAFUSOS 3/8, EM ESTRUTURA METÁLICA VIGA U 2" ENRIJECIDA COM METALON 20X20, SUPORTE EM EUCALIPTO AUTOCLAVADO PINTADAS</t>
  </si>
  <si>
    <t>CABO DE COBRE FLEXÍVEL ISOLADO, 10 MM², ANTI-CHAMA 450/750 V, PARA DISTRIBUIÇÃO - FORNECIMENTO E INSTALAÇÃO. AF_12/2015</t>
  </si>
  <si>
    <t>74131/001</t>
  </si>
  <si>
    <t>LUMINÁRIA TIPO PLAFON REDONDO COM VIDRO FOSCO, DE SOBREPOR, COM 2 LÂMPADAS DE 15 W - FORNECIMENTO E INSTALAÇÃO. AF_11/2017</t>
  </si>
  <si>
    <t>ELE-PAD-050</t>
  </si>
  <si>
    <t>PADRÃO CEMIG AÉREO TIPO H2, 5,1 &lt;= CARGA INSTALADA &lt;= 10 KW, BIFÁSICO</t>
  </si>
  <si>
    <t>PIS-LAD-040</t>
  </si>
  <si>
    <t>PISO PODOTÁTIL DE CONCRETO, DIRECIONAL, APLICADO EM PISO (20X20CM) COM JUNTA SECA, COR VERMELHO/AMARELO, ASSENTAMENTO COM ARGAMASSA INDUSTRIALIZADA, INCLUSIVE FORNECIMENTO E INSTALAÇÃO</t>
  </si>
  <si>
    <t>PORTÃO DE TUBO DE FERRO COLOCADO COM CADEADO</t>
  </si>
  <si>
    <t>SER-POR-060</t>
  </si>
  <si>
    <t>FORNECIMENTO E ASSENTAMENTO DE JANELA DE ALUMÍNIO, LINHA SUPREMA ACABAMENTO ANODIZADO, TIPO BASCULA COM CONTRAMARCO, INCLUSIVE FORNECIMENTO DE VIDRO LISO DE 4MM, FERRAGENS E ACESSÓRIOS</t>
  </si>
  <si>
    <t>SER-JAN-025</t>
  </si>
  <si>
    <t>FORNECIMENTO E ASSENTAMENTO DE PORTA DE ALUMÍNIO, LINHA SUPREMA ACABAMENTO ANODIZADO, TIPO CORRER, COM DUAS FOLHAS, INCLUSIVE FORNECIMENTO DE VIDRO LISO DE 4MM, FERRAGENS ACESSÓRIOS</t>
  </si>
  <si>
    <t>PORTA DE ABRIR, MADEIRA DE LEI PRANCHETA PARA PINTURA COMPLETA 80 X 210 CM,COM FERRAGENS EM FERRO LATONADO</t>
  </si>
  <si>
    <t>ESQ-POR-050</t>
  </si>
  <si>
    <t>PORTA METÁLICA 80 X 210 CM , INCLUINDO FECHADURA TIPO EXTERNA E FERRAGENS, CONFORME DETALHE PADRÃO ESCOLAR 4/98 VERSÃO 2005</t>
  </si>
  <si>
    <t>SEE-SER-165</t>
  </si>
  <si>
    <t>PORTA METÁLICA 70 X 210 CM , INCLUINDO FECHADURA TIPO EXTERNA E FERRAGENS, CONFORME DETALHE PADRÃO ESCOLAR 4/98 VERSÃO 2005</t>
  </si>
  <si>
    <t>SEE-SER-160</t>
  </si>
  <si>
    <t>14.6</t>
  </si>
  <si>
    <t>14.7</t>
  </si>
  <si>
    <t>14.8</t>
  </si>
  <si>
    <t>PAI-COV-010</t>
  </si>
  <si>
    <t>PLANTIO E PREPARO DE COVAS DE ARBUSTOS ORNAMENTAIS EM GERAL, EXCETO FORNECIMENTO DAS MUDAS</t>
  </si>
  <si>
    <t>MUR-BLO-015</t>
  </si>
  <si>
    <t>PLANTIO DE GRAMA ESMERALDA</t>
  </si>
  <si>
    <t>TANQUE SÉPTICO CIRCULAR, EM CONCRETO PRÉ-MOLDADO, DIÂMETRO INTERNO = 1,10 M, ALTURA INTERNA = 2,50 M, VOLUME ÚTIL: 2138,2 L (PARA 5 CONTRIBU
INTES). AF_05/2018</t>
  </si>
  <si>
    <t xml:space="preserve">TANQUE DE POLIPROPILENO, CAPACIDADE 15 LITROS, INCLUSIVE ACESSÓRIOS DE FIXAÇÃO, VÁLVULA DE ESCOAMENTO DE PLÁSTICO(PVC) NA CORBRANCA,SIFÃO DE PLÁSTICO(PVC) TIPO COPO NA COR BRANCA,FORNECIMENTO E INSTALAÇÃO, EXCLUSIVE TORNEIRA
</t>
  </si>
  <si>
    <t>PEITORIL DE GRANITO CINZA ANDORINHA E = 2 CM</t>
  </si>
  <si>
    <t>PEI-GRA-005</t>
  </si>
  <si>
    <t>SOL-GRA-005</t>
  </si>
  <si>
    <t>6.4</t>
  </si>
  <si>
    <t>BARRA DE APOIO EM AÇO INOX POLIDO RETA, DN 1.1/4" (31,75MM), PARA ACESSIBILIDADE (PMR/PCR), COMPRIMENTO 90CM, INSTALADO EM PAREDE, INCLUSIVE FORNECIMENTO, INSTALAÇÃO E ACESSÓRIOS PARA FIXAÇÃO</t>
  </si>
  <si>
    <t>ACE-BAR-015</t>
  </si>
  <si>
    <t>CONTRAPISO DESEMPENADO COM ARGAMASSA, TRAÇO 1:3 (CIMENTO E AREIA), ESP. 20MM</t>
  </si>
  <si>
    <t xml:space="preserve">PIS-CON-005 </t>
  </si>
  <si>
    <t>NOVORIZONTE-MG, 25/06/2020</t>
  </si>
  <si>
    <t>ARLEY COSTA MENDES - PREFEITO MUNICIPAL</t>
  </si>
  <si>
    <t>VINÍCIUS MODESTO COSTA MATOS - ENG. CIVIL, CREA: MG219.180/D</t>
  </si>
  <si>
    <t>VERGA 10X10CM EM CONCRETO PRÉ-MOLDADO FCK=20MPA (PREPARO COM BETONEIRA) AÇO CA60, BITOLA FINA, INCLUSIVE FORMAS TABUA 3A.</t>
  </si>
  <si>
    <t>4.6</t>
  </si>
  <si>
    <t>MEMÓRIA DE CÁLCULO</t>
  </si>
  <si>
    <t>1*3</t>
  </si>
  <si>
    <t>1*2</t>
  </si>
  <si>
    <t>1*6</t>
  </si>
  <si>
    <t>1*1</t>
  </si>
  <si>
    <t>1*19</t>
  </si>
  <si>
    <t>1*10</t>
  </si>
  <si>
    <t>8*0,8*2,1</t>
  </si>
  <si>
    <t>1*8</t>
  </si>
  <si>
    <t>ÁREA CONSTRUÍDA</t>
  </si>
  <si>
    <t>VINÍCIUS MODESTO COSTA MATOS</t>
  </si>
  <si>
    <t>ENG.CIVIL - CREA MG219.180/D</t>
  </si>
  <si>
    <t>10,95*11,75</t>
  </si>
  <si>
    <t>(0,7*0,6)*1,5*17+71*0,3*0,35</t>
  </si>
  <si>
    <t>(0,7*0,6)*17+71*0,3</t>
  </si>
  <si>
    <t>7,5+1,3+4,62+2,69+1,56+32,03+33,56</t>
  </si>
  <si>
    <t>(0,7*0,6)*1,5*17+71*0,3*0,35) - (0,7*0,6)*0,25*17+(0,25*0,15)*1,25*17+71*0,15*0,35)</t>
  </si>
  <si>
    <t>(7,5+1,3+4,62+2,69+1,56+32,03+33,56)*0,2</t>
  </si>
  <si>
    <t>(0,7*0,6)*17+71*0,3)*0,05</t>
  </si>
  <si>
    <t>(0,7*2+0,6*2)*0,25*17+71*0,35*2</t>
  </si>
  <si>
    <t>(0,7*0,6)*0,25*17+(0,25*0,15)*1,25*17+71*0,15*0,3</t>
  </si>
  <si>
    <t>5,78*60</t>
  </si>
  <si>
    <t>71*0,15*3</t>
  </si>
  <si>
    <t>(0,25*2)*4,5*14+3,14*0,2*2*3*3+55,68*2*0,3</t>
  </si>
  <si>
    <t>(0,25*0,15)*4,5*14+3,14*0,2*0,2*3*3+59,68*0,15*0,3</t>
  </si>
  <si>
    <t>6,18*80</t>
  </si>
  <si>
    <t>41,12+9,35</t>
  </si>
  <si>
    <t>9,05*2+6+8</t>
  </si>
  <si>
    <t>3*4</t>
  </si>
  <si>
    <t>71*3+35*1,2</t>
  </si>
  <si>
    <t>(0,7*2+0,8*2+3,2)*0,15</t>
  </si>
  <si>
    <t>(0,7*8+1,5*2)*0,18</t>
  </si>
  <si>
    <t>0,7*2*6+1,5*2+0,7*0,7*2</t>
  </si>
  <si>
    <t>3,2*2,5</t>
  </si>
  <si>
    <t>5*1</t>
  </si>
  <si>
    <t>4*2,2+3,5*2,2</t>
  </si>
  <si>
    <t>0,5*0,6*2</t>
  </si>
  <si>
    <t>16*3</t>
  </si>
  <si>
    <t>31*1</t>
  </si>
  <si>
    <t>QUADRO DE DISTRIBUICAO DE ENERGIA DE EMBUTIR, EM CHAPA METALICA, PARA 6 DISJUNTORES TERMOMAGNETICOS MONOPOLARES SEM BARRAMENTO FORNECIMENTO E INSTALACAO</t>
  </si>
  <si>
    <t>3*1</t>
  </si>
  <si>
    <t>1*25</t>
  </si>
  <si>
    <t>255*2+83,26</t>
  </si>
  <si>
    <t>(6,61+0,5*2+8,9)*2,1-((0,8+0,7)*2,1*2)</t>
  </si>
  <si>
    <t>(7,5+1,3+4,62+2,69+1,56+32,03+33,57)*1,1</t>
  </si>
  <si>
    <t>12*2+2,25*4</t>
  </si>
  <si>
    <t>1,8*0,6+(5,7+3,3)*0,2</t>
  </si>
  <si>
    <t>593,26-28,37</t>
  </si>
  <si>
    <t xml:space="preserve">PINTURA ESMALTE FOSCO, DUAS DEMAOS, </t>
  </si>
  <si>
    <t>MURO DIVISÓRIO BLOCO CERÂMICO REVESTIDO E PINTADO E = 15 CM, H = 2,20 M, INCLUSIVE SAPATA DE CONCRETO ARMADO FCK = 15 MPA, 50 X 55 CM</t>
  </si>
  <si>
    <t>5,9*1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</si>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</sst>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.00_);_(* \(#,##0.00\);_(* &quot;-&quot;??_);_(@_)"/>
    <numFmt numFmtId="165" formatCode="0.000%"/>
  </numFmts>
  <fonts count="2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sz val="8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1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rgb="FF010000"/>
      <name val="Century Gothic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7"/>
      <name val="Calibri"/>
      <family val="2"/>
      <scheme val="minor"/>
    </font>
    <font>
      <sz val="11"/>
      <color rgb="FF010000"/>
      <name val="Calibri"/>
      <family val="2"/>
      <scheme val="minor"/>
    </font>
    <font>
      <sz val="7"/>
      <color rgb="FF01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rgb="FF01000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auto="1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/>
      <top style="thin">
        <color rgb="FF010000"/>
      </top>
      <bottom style="thin">
        <color rgb="FF010000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84">
    <xf numFmtId="0" fontId="0" fillId="0" borderId="0" xfId="0"/>
    <xf numFmtId="0" fontId="0" fillId="2" borderId="0" xfId="0" applyFill="1"/>
    <xf numFmtId="0" fontId="4" fillId="2" borderId="25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7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5" fillId="2" borderId="0" xfId="0" applyFont="1" applyFill="1"/>
    <xf numFmtId="9" fontId="5" fillId="2" borderId="6" xfId="2" applyNumberFormat="1" applyFont="1" applyFill="1" applyBorder="1"/>
    <xf numFmtId="9" fontId="5" fillId="2" borderId="33" xfId="2" applyNumberFormat="1" applyFont="1" applyFill="1" applyBorder="1"/>
    <xf numFmtId="164" fontId="5" fillId="2" borderId="35" xfId="2" applyNumberFormat="1" applyFont="1" applyFill="1" applyBorder="1"/>
    <xf numFmtId="164" fontId="5" fillId="2" borderId="36" xfId="2" applyNumberFormat="1" applyFont="1" applyFill="1" applyBorder="1"/>
    <xf numFmtId="164" fontId="5" fillId="2" borderId="6" xfId="2" applyNumberFormat="1" applyFont="1" applyFill="1" applyBorder="1"/>
    <xf numFmtId="164" fontId="5" fillId="2" borderId="33" xfId="2" applyNumberFormat="1" applyFont="1" applyFill="1" applyBorder="1"/>
    <xf numFmtId="0" fontId="5" fillId="2" borderId="34" xfId="0" applyFont="1" applyFill="1" applyBorder="1"/>
    <xf numFmtId="4" fontId="8" fillId="2" borderId="35" xfId="0" applyNumberFormat="1" applyFont="1" applyFill="1" applyBorder="1" applyAlignment="1">
      <alignment horizontal="center"/>
    </xf>
    <xf numFmtId="164" fontId="5" fillId="2" borderId="35" xfId="2" applyNumberFormat="1" applyFont="1" applyFill="1" applyBorder="1" applyAlignment="1">
      <alignment horizontal="right"/>
    </xf>
    <xf numFmtId="164" fontId="8" fillId="2" borderId="36" xfId="2" applyNumberFormat="1" applyFont="1" applyFill="1" applyBorder="1"/>
    <xf numFmtId="0" fontId="5" fillId="2" borderId="29" xfId="0" applyFont="1" applyFill="1" applyBorder="1"/>
    <xf numFmtId="164" fontId="5" fillId="2" borderId="6" xfId="2" applyNumberFormat="1" applyFont="1" applyFill="1" applyBorder="1" applyAlignment="1">
      <alignment horizontal="right"/>
    </xf>
    <xf numFmtId="10" fontId="5" fillId="2" borderId="6" xfId="2" applyNumberFormat="1" applyFont="1" applyFill="1" applyBorder="1" applyAlignment="1">
      <alignment horizontal="right"/>
    </xf>
    <xf numFmtId="10" fontId="5" fillId="2" borderId="6" xfId="1" applyNumberFormat="1" applyFont="1" applyFill="1" applyBorder="1" applyAlignment="1">
      <alignment horizontal="right"/>
    </xf>
    <xf numFmtId="0" fontId="5" fillId="2" borderId="37" xfId="0" applyFont="1" applyFill="1" applyBorder="1"/>
    <xf numFmtId="164" fontId="5" fillId="2" borderId="38" xfId="2" applyNumberFormat="1" applyFont="1" applyFill="1" applyBorder="1"/>
    <xf numFmtId="10" fontId="5" fillId="2" borderId="38" xfId="2" applyNumberFormat="1" applyFont="1" applyFill="1" applyBorder="1" applyAlignment="1">
      <alignment horizontal="right"/>
    </xf>
    <xf numFmtId="10" fontId="5" fillId="2" borderId="38" xfId="1" applyNumberFormat="1" applyFont="1" applyFill="1" applyBorder="1" applyAlignment="1">
      <alignment horizontal="right"/>
    </xf>
    <xf numFmtId="164" fontId="5" fillId="2" borderId="39" xfId="2" applyNumberFormat="1" applyFont="1" applyFill="1" applyBorder="1"/>
    <xf numFmtId="0" fontId="8" fillId="2" borderId="0" xfId="0" applyFont="1" applyFill="1" applyBorder="1" applyAlignment="1">
      <alignment horizontal="right"/>
    </xf>
    <xf numFmtId="0" fontId="5" fillId="2" borderId="0" xfId="0" applyFont="1" applyFill="1" applyBorder="1"/>
    <xf numFmtId="0" fontId="4" fillId="2" borderId="18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4" fillId="2" borderId="22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4" fillId="2" borderId="21" xfId="0" applyFont="1" applyFill="1" applyBorder="1" applyAlignment="1">
      <alignment horizontal="center" vertical="center" wrapText="1"/>
    </xf>
    <xf numFmtId="14" fontId="6" fillId="0" borderId="24" xfId="0" applyNumberFormat="1" applyFont="1" applyBorder="1" applyAlignment="1">
      <alignment horizontal="center" wrapText="1"/>
    </xf>
    <xf numFmtId="4" fontId="4" fillId="2" borderId="0" xfId="0" applyNumberFormat="1" applyFont="1" applyFill="1"/>
    <xf numFmtId="4" fontId="5" fillId="2" borderId="0" xfId="0" applyNumberFormat="1" applyFont="1" applyFill="1"/>
    <xf numFmtId="0" fontId="5" fillId="0" borderId="0" xfId="0" applyFont="1" applyFill="1" applyBorder="1"/>
    <xf numFmtId="0" fontId="1" fillId="0" borderId="1" xfId="0" applyNumberFormat="1" applyFont="1" applyFill="1" applyBorder="1" applyAlignment="1">
      <alignment horizontal="center" wrapText="1"/>
    </xf>
    <xf numFmtId="2" fontId="0" fillId="0" borderId="1" xfId="0" applyNumberFormat="1" applyFill="1" applyBorder="1" applyAlignment="1">
      <alignment horizontal="center" wrapText="1"/>
    </xf>
    <xf numFmtId="4" fontId="0" fillId="0" borderId="1" xfId="0" applyNumberFormat="1" applyFill="1" applyBorder="1"/>
    <xf numFmtId="0" fontId="13" fillId="0" borderId="1" xfId="0" applyNumberFormat="1" applyFont="1" applyFill="1" applyBorder="1" applyAlignment="1">
      <alignment horizontal="center" wrapText="1"/>
    </xf>
    <xf numFmtId="4" fontId="0" fillId="0" borderId="1" xfId="0" applyNumberFormat="1" applyFill="1" applyBorder="1" applyAlignment="1">
      <alignment wrapText="1"/>
    </xf>
    <xf numFmtId="165" fontId="4" fillId="2" borderId="0" xfId="1" applyNumberFormat="1" applyFont="1" applyFill="1"/>
    <xf numFmtId="0" fontId="0" fillId="0" borderId="0" xfId="0" applyFill="1"/>
    <xf numFmtId="0" fontId="1" fillId="0" borderId="1" xfId="0" applyNumberFormat="1" applyFont="1" applyFill="1" applyBorder="1" applyAlignment="1">
      <alignment wrapText="1"/>
    </xf>
    <xf numFmtId="4" fontId="0" fillId="0" borderId="0" xfId="0" applyNumberFormat="1" applyFill="1"/>
    <xf numFmtId="0" fontId="0" fillId="0" borderId="1" xfId="0" applyFill="1" applyBorder="1"/>
    <xf numFmtId="4" fontId="0" fillId="0" borderId="1" xfId="0" applyNumberFormat="1" applyFont="1" applyFill="1" applyBorder="1"/>
    <xf numFmtId="0" fontId="4" fillId="0" borderId="0" xfId="0" applyFont="1" applyFill="1" applyBorder="1" applyAlignment="1">
      <alignment horizontal="left"/>
    </xf>
    <xf numFmtId="0" fontId="0" fillId="0" borderId="0" xfId="0" applyFill="1" applyAlignment="1">
      <alignment horizontal="center"/>
    </xf>
    <xf numFmtId="0" fontId="13" fillId="0" borderId="1" xfId="0" applyFont="1" applyFill="1" applyBorder="1"/>
    <xf numFmtId="0" fontId="0" fillId="0" borderId="0" xfId="0" applyFill="1" applyAlignment="1">
      <alignment horizontal="center"/>
    </xf>
    <xf numFmtId="4" fontId="11" fillId="0" borderId="1" xfId="0" applyNumberFormat="1" applyFont="1" applyFill="1" applyBorder="1"/>
    <xf numFmtId="0" fontId="1" fillId="4" borderId="1" xfId="0" applyNumberFormat="1" applyFont="1" applyFill="1" applyBorder="1" applyAlignment="1">
      <alignment horizontal="center" wrapText="1"/>
    </xf>
    <xf numFmtId="0" fontId="12" fillId="4" borderId="1" xfId="0" applyNumberFormat="1" applyFont="1" applyFill="1" applyBorder="1" applyAlignment="1">
      <alignment horizontal="center" wrapText="1"/>
    </xf>
    <xf numFmtId="2" fontId="1" fillId="4" borderId="1" xfId="0" applyNumberFormat="1" applyFont="1" applyFill="1" applyBorder="1" applyAlignment="1">
      <alignment horizontal="center" wrapText="1"/>
    </xf>
    <xf numFmtId="0" fontId="0" fillId="4" borderId="1" xfId="0" applyFill="1" applyBorder="1"/>
    <xf numFmtId="4" fontId="0" fillId="4" borderId="1" xfId="0" applyNumberFormat="1" applyFill="1" applyBorder="1"/>
    <xf numFmtId="0" fontId="13" fillId="4" borderId="1" xfId="0" applyNumberFormat="1" applyFont="1" applyFill="1" applyBorder="1" applyAlignment="1">
      <alignment horizontal="center" wrapText="1"/>
    </xf>
    <xf numFmtId="2" fontId="0" fillId="4" borderId="1" xfId="0" applyNumberFormat="1" applyFill="1" applyBorder="1" applyAlignment="1">
      <alignment horizontal="center" wrapText="1"/>
    </xf>
    <xf numFmtId="0" fontId="0" fillId="4" borderId="0" xfId="0" applyFill="1"/>
    <xf numFmtId="0" fontId="1" fillId="4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wrapText="1"/>
    </xf>
    <xf numFmtId="4" fontId="1" fillId="0" borderId="1" xfId="0" applyNumberFormat="1" applyFont="1" applyFill="1" applyBorder="1" applyAlignment="1">
      <alignment horizontal="left" wrapText="1"/>
    </xf>
    <xf numFmtId="2" fontId="1" fillId="4" borderId="1" xfId="0" applyNumberFormat="1" applyFont="1" applyFill="1" applyBorder="1" applyAlignment="1">
      <alignment horizontal="justify" wrapText="1"/>
    </xf>
    <xf numFmtId="2" fontId="0" fillId="0" borderId="1" xfId="0" applyNumberFormat="1" applyFill="1" applyBorder="1" applyAlignment="1">
      <alignment horizontal="justify" wrapText="1"/>
    </xf>
    <xf numFmtId="0" fontId="0" fillId="0" borderId="1" xfId="0" applyFill="1" applyBorder="1" applyAlignment="1">
      <alignment horizontal="justify" wrapText="1"/>
    </xf>
    <xf numFmtId="2" fontId="0" fillId="0" borderId="1" xfId="0" applyNumberFormat="1" applyFill="1" applyBorder="1" applyAlignment="1">
      <alignment horizontal="justify" vertical="top" wrapText="1"/>
    </xf>
    <xf numFmtId="0" fontId="0" fillId="0" borderId="0" xfId="0" applyFill="1" applyAlignment="1">
      <alignment horizontal="justify" wrapText="1"/>
    </xf>
    <xf numFmtId="0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4" fontId="14" fillId="3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/>
    <xf numFmtId="0" fontId="16" fillId="0" borderId="1" xfId="0" applyNumberFormat="1" applyFont="1" applyFill="1" applyBorder="1" applyAlignment="1" applyProtection="1">
      <alignment horizontal="center" vertical="center"/>
    </xf>
    <xf numFmtId="4" fontId="18" fillId="3" borderId="1" xfId="0" applyNumberFormat="1" applyFont="1" applyFill="1" applyBorder="1"/>
    <xf numFmtId="0" fontId="5" fillId="0" borderId="0" xfId="0" applyFont="1" applyFill="1" applyBorder="1" applyAlignment="1">
      <alignment vertical="top"/>
    </xf>
    <xf numFmtId="0" fontId="4" fillId="0" borderId="0" xfId="0" applyFont="1" applyFill="1" applyBorder="1" applyAlignment="1">
      <alignment horizontal="left" vertical="top"/>
    </xf>
    <xf numFmtId="0" fontId="14" fillId="0" borderId="1" xfId="0" applyNumberFormat="1" applyFont="1" applyFill="1" applyBorder="1" applyAlignment="1">
      <alignment horizontal="center" wrapText="1"/>
    </xf>
    <xf numFmtId="0" fontId="19" fillId="0" borderId="1" xfId="0" applyNumberFormat="1" applyFont="1" applyFill="1" applyBorder="1" applyAlignment="1">
      <alignment horizontal="center" wrapText="1"/>
    </xf>
    <xf numFmtId="2" fontId="11" fillId="0" borderId="1" xfId="0" applyNumberFormat="1" applyFont="1" applyFill="1" applyBorder="1" applyAlignment="1">
      <alignment horizontal="justify" wrapText="1"/>
    </xf>
    <xf numFmtId="2" fontId="11" fillId="0" borderId="1" xfId="0" applyNumberFormat="1" applyFont="1" applyFill="1" applyBorder="1" applyAlignment="1">
      <alignment horizontal="center" wrapText="1"/>
    </xf>
    <xf numFmtId="2" fontId="0" fillId="0" borderId="1" xfId="0" applyNumberFormat="1" applyFont="1" applyFill="1" applyBorder="1" applyAlignment="1">
      <alignment horizontal="center" wrapText="1"/>
    </xf>
    <xf numFmtId="2" fontId="0" fillId="0" borderId="1" xfId="0" applyNumberFormat="1" applyFont="1" applyFill="1" applyBorder="1" applyAlignment="1">
      <alignment horizontal="justify" wrapText="1"/>
    </xf>
    <xf numFmtId="0" fontId="20" fillId="0" borderId="1" xfId="0" applyNumberFormat="1" applyFont="1" applyFill="1" applyBorder="1" applyAlignment="1" applyProtection="1">
      <alignment horizontal="justify" vertical="center" wrapText="1"/>
    </xf>
    <xf numFmtId="0" fontId="21" fillId="0" borderId="46" xfId="0" applyNumberFormat="1" applyFont="1" applyFill="1" applyBorder="1" applyAlignment="1" applyProtection="1">
      <alignment horizontal="center" vertical="center"/>
    </xf>
    <xf numFmtId="0" fontId="20" fillId="0" borderId="1" xfId="0" applyNumberFormat="1" applyFont="1" applyFill="1" applyBorder="1" applyAlignment="1" applyProtection="1">
      <alignment horizontal="left" vertical="center" wrapText="1"/>
    </xf>
    <xf numFmtId="0" fontId="20" fillId="0" borderId="1" xfId="0" applyNumberFormat="1" applyFont="1" applyFill="1" applyBorder="1" applyAlignment="1" applyProtection="1">
      <alignment horizontal="center" vertical="center"/>
    </xf>
    <xf numFmtId="4" fontId="20" fillId="0" borderId="1" xfId="0" applyNumberFormat="1" applyFont="1" applyFill="1" applyBorder="1" applyAlignment="1" applyProtection="1">
      <alignment horizontal="center" vertical="center"/>
    </xf>
    <xf numFmtId="14" fontId="0" fillId="0" borderId="3" xfId="0" applyNumberFormat="1" applyFont="1" applyFill="1" applyBorder="1" applyAlignment="1">
      <alignment horizontal="center" wrapText="1"/>
    </xf>
    <xf numFmtId="10" fontId="0" fillId="0" borderId="3" xfId="1" applyNumberFormat="1" applyFont="1" applyFill="1" applyBorder="1" applyAlignment="1">
      <alignment horizontal="center" wrapText="1"/>
    </xf>
    <xf numFmtId="4" fontId="1" fillId="3" borderId="2" xfId="0" applyNumberFormat="1" applyFont="1" applyFill="1" applyBorder="1" applyAlignment="1">
      <alignment horizontal="center" vertical="center" wrapText="1"/>
    </xf>
    <xf numFmtId="4" fontId="0" fillId="4" borderId="2" xfId="0" applyNumberFormat="1" applyFill="1" applyBorder="1"/>
    <xf numFmtId="4" fontId="0" fillId="0" borderId="2" xfId="0" applyNumberFormat="1" applyFill="1" applyBorder="1"/>
    <xf numFmtId="4" fontId="1" fillId="0" borderId="2" xfId="0" applyNumberFormat="1" applyFont="1" applyFill="1" applyBorder="1"/>
    <xf numFmtId="4" fontId="0" fillId="0" borderId="2" xfId="0" applyNumberFormat="1" applyFont="1" applyFill="1" applyBorder="1"/>
    <xf numFmtId="4" fontId="11" fillId="0" borderId="2" xfId="0" applyNumberFormat="1" applyFont="1" applyFill="1" applyBorder="1"/>
    <xf numFmtId="4" fontId="1" fillId="4" borderId="2" xfId="0" applyNumberFormat="1" applyFont="1" applyFill="1" applyBorder="1"/>
    <xf numFmtId="4" fontId="17" fillId="3" borderId="2" xfId="0" applyNumberFormat="1" applyFont="1" applyFill="1" applyBorder="1"/>
    <xf numFmtId="0" fontId="24" fillId="0" borderId="1" xfId="0" applyNumberFormat="1" applyFont="1" applyFill="1" applyBorder="1" applyAlignment="1" applyProtection="1">
      <alignment horizontal="center" vertical="center"/>
    </xf>
    <xf numFmtId="2" fontId="20" fillId="0" borderId="1" xfId="0" applyNumberFormat="1" applyFont="1" applyFill="1" applyBorder="1" applyAlignment="1" applyProtection="1">
      <alignment horizontal="center" vertical="center"/>
    </xf>
    <xf numFmtId="4" fontId="20" fillId="0" borderId="1" xfId="0" applyNumberFormat="1" applyFont="1" applyFill="1" applyBorder="1" applyAlignment="1" applyProtection="1">
      <alignment horizontal="center"/>
    </xf>
    <xf numFmtId="0" fontId="11" fillId="4" borderId="1" xfId="0" applyFont="1" applyFill="1" applyBorder="1" applyAlignment="1">
      <alignment horizontal="center"/>
    </xf>
    <xf numFmtId="4" fontId="11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4" fontId="14" fillId="0" borderId="1" xfId="0" applyNumberFormat="1" applyFont="1" applyFill="1" applyBorder="1" applyAlignment="1">
      <alignment horizontal="center"/>
    </xf>
    <xf numFmtId="4" fontId="11" fillId="0" borderId="1" xfId="0" applyNumberFormat="1" applyFont="1" applyFill="1" applyBorder="1" applyAlignment="1">
      <alignment horizontal="center" wrapText="1"/>
    </xf>
    <xf numFmtId="4" fontId="11" fillId="4" borderId="1" xfId="0" applyNumberFormat="1" applyFont="1" applyFill="1" applyBorder="1" applyAlignment="1">
      <alignment horizontal="center"/>
    </xf>
    <xf numFmtId="4" fontId="14" fillId="4" borderId="1" xfId="0" applyNumberFormat="1" applyFont="1" applyFill="1" applyBorder="1" applyAlignment="1">
      <alignment horizontal="center"/>
    </xf>
    <xf numFmtId="4" fontId="11" fillId="0" borderId="0" xfId="0" applyNumberFormat="1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0" fillId="0" borderId="0" xfId="0" applyAlignment="1">
      <alignment wrapText="1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Alignment="1"/>
    <xf numFmtId="0" fontId="1" fillId="0" borderId="0" xfId="0" applyFont="1" applyFill="1" applyAlignment="1">
      <alignment horizontal="justify" wrapText="1"/>
    </xf>
    <xf numFmtId="2" fontId="6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 wrapText="1"/>
    </xf>
    <xf numFmtId="2" fontId="6" fillId="5" borderId="1" xfId="0" applyNumberFormat="1" applyFont="1" applyFill="1" applyBorder="1" applyAlignment="1">
      <alignment horizontal="center" vertical="center"/>
    </xf>
    <xf numFmtId="2" fontId="6" fillId="5" borderId="1" xfId="0" applyNumberFormat="1" applyFont="1" applyFill="1" applyBorder="1" applyAlignment="1">
      <alignment horizontal="center" vertical="center" wrapText="1"/>
    </xf>
    <xf numFmtId="2" fontId="0" fillId="5" borderId="1" xfId="0" applyNumberFormat="1" applyFill="1" applyBorder="1" applyAlignment="1">
      <alignment horizontal="center" vertical="center" wrapText="1"/>
    </xf>
    <xf numFmtId="2" fontId="0" fillId="5" borderId="4" xfId="0" applyNumberFormat="1" applyFill="1" applyBorder="1" applyAlignment="1">
      <alignment horizontal="center" vertical="center" wrapText="1"/>
    </xf>
    <xf numFmtId="2" fontId="6" fillId="5" borderId="1" xfId="0" applyNumberFormat="1" applyFont="1" applyFill="1" applyBorder="1" applyAlignment="1">
      <alignment horizontal="center" wrapText="1"/>
    </xf>
    <xf numFmtId="0" fontId="0" fillId="0" borderId="43" xfId="0" applyBorder="1"/>
    <xf numFmtId="0" fontId="0" fillId="0" borderId="44" xfId="0" applyBorder="1"/>
    <xf numFmtId="0" fontId="0" fillId="0" borderId="45" xfId="0" applyBorder="1"/>
    <xf numFmtId="0" fontId="0" fillId="0" borderId="47" xfId="0" applyBorder="1"/>
    <xf numFmtId="0" fontId="0" fillId="0" borderId="7" xfId="0" applyBorder="1"/>
    <xf numFmtId="0" fontId="0" fillId="0" borderId="23" xfId="0" applyBorder="1"/>
    <xf numFmtId="0" fontId="0" fillId="0" borderId="11" xfId="0" applyBorder="1"/>
    <xf numFmtId="0" fontId="0" fillId="0" borderId="22" xfId="0" applyBorder="1"/>
    <xf numFmtId="2" fontId="6" fillId="5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164" fontId="5" fillId="2" borderId="0" xfId="2" applyNumberFormat="1" applyFont="1" applyFill="1" applyBorder="1"/>
    <xf numFmtId="10" fontId="5" fillId="2" borderId="0" xfId="2" applyNumberFormat="1" applyFont="1" applyFill="1" applyBorder="1" applyAlignment="1">
      <alignment horizontal="right"/>
    </xf>
    <xf numFmtId="10" fontId="5" fillId="2" borderId="0" xfId="1" applyNumberFormat="1" applyFont="1" applyFill="1" applyBorder="1" applyAlignment="1">
      <alignment horizontal="right"/>
    </xf>
    <xf numFmtId="0" fontId="3" fillId="0" borderId="43" xfId="0" applyFont="1" applyFill="1" applyBorder="1" applyAlignment="1">
      <alignment horizontal="center"/>
    </xf>
    <xf numFmtId="0" fontId="3" fillId="0" borderId="44" xfId="0" applyFont="1" applyFill="1" applyBorder="1" applyAlignment="1">
      <alignment horizontal="center"/>
    </xf>
    <xf numFmtId="0" fontId="3" fillId="0" borderId="45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23" fillId="3" borderId="1" xfId="0" applyNumberFormat="1" applyFont="1" applyFill="1" applyBorder="1" applyAlignment="1">
      <alignment horizontal="center" wrapText="1"/>
    </xf>
    <xf numFmtId="2" fontId="17" fillId="3" borderId="2" xfId="0" applyNumberFormat="1" applyFont="1" applyFill="1" applyBorder="1" applyAlignment="1">
      <alignment horizontal="center" wrapText="1"/>
    </xf>
    <xf numFmtId="2" fontId="17" fillId="3" borderId="3" xfId="0" applyNumberFormat="1" applyFont="1" applyFill="1" applyBorder="1" applyAlignment="1">
      <alignment horizontal="center" wrapText="1"/>
    </xf>
    <xf numFmtId="2" fontId="17" fillId="3" borderId="4" xfId="0" applyNumberFormat="1" applyFont="1" applyFill="1" applyBorder="1" applyAlignment="1">
      <alignment horizontal="center" wrapText="1"/>
    </xf>
    <xf numFmtId="0" fontId="0" fillId="0" borderId="2" xfId="0" applyNumberFormat="1" applyFont="1" applyFill="1" applyBorder="1" applyAlignment="1">
      <alignment horizontal="left" wrapText="1"/>
    </xf>
    <xf numFmtId="0" fontId="0" fillId="0" borderId="3" xfId="0" applyNumberFormat="1" applyFont="1" applyFill="1" applyBorder="1" applyAlignment="1">
      <alignment horizontal="left" wrapText="1"/>
    </xf>
    <xf numFmtId="0" fontId="0" fillId="0" borderId="4" xfId="0" applyNumberFormat="1" applyFont="1" applyFill="1" applyBorder="1" applyAlignment="1">
      <alignment horizontal="left" wrapText="1"/>
    </xf>
    <xf numFmtId="0" fontId="0" fillId="0" borderId="2" xfId="0" applyNumberFormat="1" applyFill="1" applyBorder="1" applyAlignment="1">
      <alignment horizontal="left" wrapText="1"/>
    </xf>
    <xf numFmtId="0" fontId="0" fillId="0" borderId="3" xfId="0" applyNumberFormat="1" applyFill="1" applyBorder="1" applyAlignment="1">
      <alignment horizontal="left" wrapText="1"/>
    </xf>
    <xf numFmtId="0" fontId="0" fillId="0" borderId="4" xfId="0" applyNumberFormat="1" applyFill="1" applyBorder="1" applyAlignment="1">
      <alignment horizontal="left" wrapText="1"/>
    </xf>
    <xf numFmtId="0" fontId="22" fillId="0" borderId="23" xfId="0" applyFont="1" applyFill="1" applyBorder="1" applyAlignment="1">
      <alignment horizontal="center"/>
    </xf>
    <xf numFmtId="0" fontId="22" fillId="0" borderId="11" xfId="0" applyFont="1" applyFill="1" applyBorder="1" applyAlignment="1">
      <alignment horizontal="center"/>
    </xf>
    <xf numFmtId="0" fontId="22" fillId="0" borderId="22" xfId="0" applyFont="1" applyFill="1" applyBorder="1" applyAlignment="1">
      <alignment horizontal="center"/>
    </xf>
    <xf numFmtId="2" fontId="4" fillId="3" borderId="2" xfId="0" applyNumberFormat="1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2" fontId="6" fillId="5" borderId="1" xfId="0" applyNumberFormat="1" applyFont="1" applyFill="1" applyBorder="1" applyAlignment="1">
      <alignment horizontal="left" vertical="center" wrapText="1"/>
    </xf>
    <xf numFmtId="2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2" fontId="0" fillId="0" borderId="2" xfId="0" applyNumberForma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2" fontId="4" fillId="3" borderId="2" xfId="0" applyNumberFormat="1" applyFont="1" applyFill="1" applyBorder="1" applyAlignment="1">
      <alignment horizontal="center" vertical="center" wrapText="1"/>
    </xf>
    <xf numFmtId="2" fontId="4" fillId="3" borderId="3" xfId="0" applyNumberFormat="1" applyFont="1" applyFill="1" applyBorder="1" applyAlignment="1">
      <alignment horizontal="center" vertical="center" wrapText="1"/>
    </xf>
    <xf numFmtId="2" fontId="6" fillId="5" borderId="2" xfId="0" applyNumberFormat="1" applyFont="1" applyFill="1" applyBorder="1" applyAlignment="1">
      <alignment horizontal="left" vertical="center" wrapText="1"/>
    </xf>
    <xf numFmtId="2" fontId="6" fillId="5" borderId="3" xfId="0" applyNumberFormat="1" applyFont="1" applyFill="1" applyBorder="1" applyAlignment="1">
      <alignment horizontal="left" vertical="center" wrapText="1"/>
    </xf>
    <xf numFmtId="2" fontId="6" fillId="5" borderId="4" xfId="0" applyNumberFormat="1" applyFont="1" applyFill="1" applyBorder="1" applyAlignment="1">
      <alignment horizontal="left" vertical="center" wrapText="1"/>
    </xf>
    <xf numFmtId="2" fontId="6" fillId="5" borderId="2" xfId="0" applyNumberFormat="1" applyFont="1" applyFill="1" applyBorder="1" applyAlignment="1">
      <alignment horizontal="center" vertical="center" wrapText="1"/>
    </xf>
    <xf numFmtId="2" fontId="6" fillId="5" borderId="3" xfId="0" applyNumberFormat="1" applyFont="1" applyFill="1" applyBorder="1" applyAlignment="1">
      <alignment horizontal="center" vertical="center" wrapText="1"/>
    </xf>
    <xf numFmtId="2" fontId="6" fillId="5" borderId="4" xfId="0" applyNumberFormat="1" applyFont="1" applyFill="1" applyBorder="1" applyAlignment="1">
      <alignment horizontal="center" vertical="center" wrapText="1"/>
    </xf>
    <xf numFmtId="2" fontId="0" fillId="5" borderId="2" xfId="0" applyNumberFormat="1" applyFill="1" applyBorder="1" applyAlignment="1">
      <alignment horizontal="center" vertical="center" wrapText="1"/>
    </xf>
    <xf numFmtId="2" fontId="0" fillId="5" borderId="4" xfId="0" applyNumberFormat="1" applyFill="1" applyBorder="1" applyAlignment="1">
      <alignment horizontal="center" vertical="center" wrapText="1"/>
    </xf>
    <xf numFmtId="2" fontId="0" fillId="5" borderId="2" xfId="0" applyNumberForma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5" borderId="4" xfId="0" applyFill="1" applyBorder="1" applyAlignment="1">
      <alignment horizontal="left" vertical="center" wrapText="1"/>
    </xf>
    <xf numFmtId="2" fontId="6" fillId="0" borderId="2" xfId="0" applyNumberFormat="1" applyFont="1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2" fontId="0" fillId="5" borderId="3" xfId="0" applyNumberForma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wrapText="1"/>
    </xf>
    <xf numFmtId="0" fontId="6" fillId="5" borderId="3" xfId="0" applyFont="1" applyFill="1" applyBorder="1" applyAlignment="1">
      <alignment horizontal="center" wrapText="1"/>
    </xf>
    <xf numFmtId="0" fontId="6" fillId="5" borderId="4" xfId="0" applyFont="1" applyFill="1" applyBorder="1" applyAlignment="1">
      <alignment horizontal="center" wrapText="1"/>
    </xf>
    <xf numFmtId="2" fontId="6" fillId="5" borderId="2" xfId="0" applyNumberFormat="1" applyFont="1" applyFill="1" applyBorder="1" applyAlignment="1">
      <alignment horizontal="center" wrapText="1"/>
    </xf>
    <xf numFmtId="2" fontId="6" fillId="5" borderId="4" xfId="0" applyNumberFormat="1" applyFont="1" applyFill="1" applyBorder="1" applyAlignment="1">
      <alignment horizontal="center" wrapText="1"/>
    </xf>
    <xf numFmtId="0" fontId="6" fillId="5" borderId="1" xfId="0" applyFont="1" applyFill="1" applyBorder="1" applyAlignment="1">
      <alignment horizontal="center" wrapText="1"/>
    </xf>
    <xf numFmtId="2" fontId="6" fillId="5" borderId="1" xfId="0" applyNumberFormat="1" applyFont="1" applyFill="1" applyBorder="1" applyAlignment="1">
      <alignment horizontal="center" vertical="center" wrapText="1"/>
    </xf>
    <xf numFmtId="2" fontId="4" fillId="6" borderId="2" xfId="0" applyNumberFormat="1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2" fontId="0" fillId="5" borderId="1" xfId="0" applyNumberFormat="1" applyFill="1" applyBorder="1" applyAlignment="1">
      <alignment horizontal="left" vertical="center" wrapText="1"/>
    </xf>
    <xf numFmtId="2" fontId="0" fillId="5" borderId="1" xfId="0" applyNumberForma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2" fontId="1" fillId="3" borderId="3" xfId="0" applyNumberFormat="1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2" fontId="0" fillId="0" borderId="3" xfId="0" applyNumberFormat="1" applyBorder="1" applyAlignment="1">
      <alignment horizontal="left" vertical="center" wrapText="1"/>
    </xf>
    <xf numFmtId="2" fontId="0" fillId="0" borderId="4" xfId="0" applyNumberFormat="1" applyBorder="1" applyAlignment="1">
      <alignment horizontal="left" vertical="center" wrapText="1"/>
    </xf>
    <xf numFmtId="2" fontId="0" fillId="0" borderId="2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 wrapText="1"/>
    </xf>
    <xf numFmtId="2" fontId="6" fillId="0" borderId="4" xfId="0" applyNumberFormat="1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2" fontId="6" fillId="5" borderId="1" xfId="0" applyNumberFormat="1" applyFont="1" applyFill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2" fontId="6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8" fillId="2" borderId="29" xfId="0" applyFont="1" applyFill="1" applyBorder="1" applyAlignment="1">
      <alignment horizontal="center"/>
    </xf>
    <xf numFmtId="2" fontId="8" fillId="2" borderId="30" xfId="0" applyNumberFormat="1" applyFont="1" applyFill="1" applyBorder="1" applyAlignment="1">
      <alignment horizontal="left" vertical="center"/>
    </xf>
    <xf numFmtId="0" fontId="8" fillId="2" borderId="31" xfId="0" applyFont="1" applyFill="1" applyBorder="1" applyAlignment="1">
      <alignment horizontal="left" vertical="center"/>
    </xf>
    <xf numFmtId="0" fontId="8" fillId="2" borderId="32" xfId="0" applyFont="1" applyFill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4" fontId="8" fillId="2" borderId="6" xfId="2" applyNumberFormat="1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left" vertical="center"/>
    </xf>
    <xf numFmtId="0" fontId="8" fillId="2" borderId="35" xfId="0" applyFont="1" applyFill="1" applyBorder="1" applyAlignment="1">
      <alignment horizontal="right"/>
    </xf>
    <xf numFmtId="0" fontId="8" fillId="2" borderId="6" xfId="0" applyFont="1" applyFill="1" applyBorder="1" applyAlignment="1">
      <alignment horizontal="right"/>
    </xf>
    <xf numFmtId="0" fontId="8" fillId="2" borderId="38" xfId="0" applyFont="1" applyFill="1" applyBorder="1" applyAlignment="1">
      <alignment horizontal="right"/>
    </xf>
    <xf numFmtId="0" fontId="8" fillId="2" borderId="0" xfId="0" applyFont="1" applyFill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8" fillId="2" borderId="34" xfId="0" applyFont="1" applyFill="1" applyBorder="1" applyAlignment="1">
      <alignment horizontal="center"/>
    </xf>
    <xf numFmtId="2" fontId="8" fillId="2" borderId="40" xfId="0" applyNumberFormat="1" applyFont="1" applyFill="1" applyBorder="1" applyAlignment="1">
      <alignment horizontal="left" vertical="center"/>
    </xf>
    <xf numFmtId="0" fontId="8" fillId="2" borderId="41" xfId="0" applyFont="1" applyFill="1" applyBorder="1" applyAlignment="1">
      <alignment horizontal="left" vertical="center"/>
    </xf>
    <xf numFmtId="0" fontId="8" fillId="2" borderId="42" xfId="0" applyFont="1" applyFill="1" applyBorder="1" applyAlignment="1">
      <alignment horizontal="left" vertical="center"/>
    </xf>
    <xf numFmtId="4" fontId="8" fillId="2" borderId="35" xfId="2" applyNumberFormat="1" applyFont="1" applyFill="1" applyBorder="1" applyAlignment="1">
      <alignment horizontal="center" vertical="center"/>
    </xf>
    <xf numFmtId="4" fontId="4" fillId="0" borderId="6" xfId="0" applyNumberFormat="1" applyFont="1" applyBorder="1" applyAlignment="1">
      <alignment horizontal="center" vertical="center"/>
    </xf>
    <xf numFmtId="4" fontId="7" fillId="2" borderId="12" xfId="0" applyNumberFormat="1" applyFont="1" applyFill="1" applyBorder="1" applyAlignment="1">
      <alignment horizontal="center" vertical="center"/>
    </xf>
    <xf numFmtId="4" fontId="7" fillId="2" borderId="13" xfId="0" applyNumberFormat="1" applyFont="1" applyFill="1" applyBorder="1" applyAlignment="1">
      <alignment horizontal="center" vertical="center"/>
    </xf>
    <xf numFmtId="4" fontId="7" fillId="2" borderId="14" xfId="0" applyNumberFormat="1" applyFont="1" applyFill="1" applyBorder="1" applyAlignment="1">
      <alignment horizontal="center" vertical="center"/>
    </xf>
    <xf numFmtId="4" fontId="7" fillId="2" borderId="15" xfId="0" applyNumberFormat="1" applyFont="1" applyFill="1" applyBorder="1" applyAlignment="1">
      <alignment horizontal="center" vertical="center"/>
    </xf>
    <xf numFmtId="4" fontId="7" fillId="2" borderId="16" xfId="0" applyNumberFormat="1" applyFont="1" applyFill="1" applyBorder="1" applyAlignment="1">
      <alignment horizontal="center" vertical="center"/>
    </xf>
    <xf numFmtId="4" fontId="7" fillId="2" borderId="17" xfId="0" applyNumberFormat="1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/>
    </xf>
    <xf numFmtId="0" fontId="8" fillId="2" borderId="28" xfId="0" applyFont="1" applyFill="1" applyBorder="1" applyAlignment="1">
      <alignment horizontal="center"/>
    </xf>
    <xf numFmtId="2" fontId="8" fillId="2" borderId="8" xfId="0" applyNumberFormat="1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left" vertical="center"/>
    </xf>
    <xf numFmtId="4" fontId="8" fillId="2" borderId="5" xfId="2" applyNumberFormat="1" applyFont="1" applyFill="1" applyBorder="1" applyAlignment="1">
      <alignment horizontal="center" vertical="center"/>
    </xf>
  </cellXfs>
  <cellStyles count="4">
    <cellStyle name="Normal" xfId="0" builtinId="0"/>
    <cellStyle name="Porcentagem" xfId="1" builtinId="5"/>
    <cellStyle name="Porcentagem 6" xfId="3"/>
    <cellStyle name="Vírgula" xfId="2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228600</xdr:colOff>
      <xdr:row>0</xdr:row>
      <xdr:rowOff>666750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10D47DF-2CA4-40AE-9BB5-CDF5803CF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382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in&#237;cius%20Modesto/Desktop/PC%20Vin&#237;cius/prefeitura%20municipal%20de%20Novorizonte/Servi&#231;os/CRECHE%20INDAI&#193;/medi&#231;&#227;o%20cled/1&#170;%20MEDI&#199;OES%20CRECHE%20DE%20INDAIA%202020%20-%20C&#243;p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ia Atualizada"/>
      <sheetName val="memória de cálculo"/>
      <sheetName val="CRONOG ATUAL"/>
      <sheetName val="MEDIÇÃO 1"/>
      <sheetName val="medição 2"/>
    </sheetNames>
    <sheetDataSet>
      <sheetData sheetId="0">
        <row r="7">
          <cell r="D7" t="str">
            <v>LOCACAO CONVENCIONAL DE OBRA, ATRAVÉS DE GABARITO DE TABUAS CORRIDAS PONTALETADAS A CADA 1,50M, SEM REAPROVEITAMENTO</v>
          </cell>
        </row>
        <row r="37">
          <cell r="D37" t="str">
            <v>PAREDES E PAINEIS</v>
          </cell>
        </row>
        <row r="88">
          <cell r="D88" t="str">
            <v>REVESTIMENTOS</v>
          </cell>
        </row>
        <row r="100">
          <cell r="D100" t="str">
            <v>PINTURAS</v>
          </cell>
        </row>
        <row r="112">
          <cell r="E112" t="str">
            <v>M2</v>
          </cell>
        </row>
        <row r="113">
          <cell r="E113" t="str">
            <v>M3</v>
          </cell>
        </row>
        <row r="114">
          <cell r="E114" t="str">
            <v>M3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131"/>
  <sheetViews>
    <sheetView tabSelected="1" view="pageBreakPreview" topLeftCell="A98" zoomScaleNormal="100" zoomScaleSheetLayoutView="100" workbookViewId="0">
      <selection activeCell="C111" sqref="C111"/>
    </sheetView>
  </sheetViews>
  <sheetFormatPr defaultColWidth="8.85546875" defaultRowHeight="15" x14ac:dyDescent="0.25"/>
  <cols>
    <col min="1" max="1" width="7.140625" style="45" customWidth="1"/>
    <col min="2" max="2" width="10.28515625" style="45" customWidth="1"/>
    <col min="3" max="3" width="75.7109375" style="70" bestFit="1" customWidth="1"/>
    <col min="4" max="4" width="6.5703125" style="45" customWidth="1"/>
    <col min="5" max="5" width="9.140625" style="112"/>
    <col min="6" max="6" width="9.140625" style="45"/>
    <col min="7" max="7" width="10.7109375" style="47" customWidth="1"/>
    <col min="8" max="8" width="13.5703125" style="47" customWidth="1"/>
    <col min="9" max="16384" width="8.85546875" style="45"/>
  </cols>
  <sheetData>
    <row r="1" spans="1:8" ht="26.25" x14ac:dyDescent="0.4">
      <c r="A1" s="138" t="s">
        <v>24</v>
      </c>
      <c r="B1" s="139"/>
      <c r="C1" s="139"/>
      <c r="D1" s="139"/>
      <c r="E1" s="139"/>
      <c r="F1" s="139"/>
      <c r="G1" s="139"/>
      <c r="H1" s="140"/>
    </row>
    <row r="2" spans="1:8" ht="18.75" x14ac:dyDescent="0.3">
      <c r="A2" s="152" t="s">
        <v>247</v>
      </c>
      <c r="B2" s="153"/>
      <c r="C2" s="153"/>
      <c r="D2" s="153"/>
      <c r="E2" s="153"/>
      <c r="F2" s="153"/>
      <c r="G2" s="153"/>
      <c r="H2" s="154"/>
    </row>
    <row r="3" spans="1:8" ht="19.899999999999999" customHeight="1" x14ac:dyDescent="0.35">
      <c r="A3" s="142" t="s">
        <v>236</v>
      </c>
      <c r="B3" s="142"/>
      <c r="C3" s="142"/>
      <c r="D3" s="142"/>
      <c r="E3" s="142"/>
      <c r="F3" s="142"/>
      <c r="G3" s="142"/>
      <c r="H3" s="142"/>
    </row>
    <row r="4" spans="1:8" ht="15" customHeight="1" x14ac:dyDescent="0.25">
      <c r="A4" s="46" t="s">
        <v>25</v>
      </c>
      <c r="B4" s="146" t="s">
        <v>248</v>
      </c>
      <c r="C4" s="147"/>
      <c r="D4" s="147"/>
      <c r="E4" s="147"/>
      <c r="F4" s="148"/>
      <c r="G4" s="64" t="s">
        <v>27</v>
      </c>
      <c r="H4" s="91">
        <v>44007</v>
      </c>
    </row>
    <row r="5" spans="1:8" ht="15" customHeight="1" x14ac:dyDescent="0.25">
      <c r="A5" s="46" t="s">
        <v>26</v>
      </c>
      <c r="B5" s="149" t="s">
        <v>249</v>
      </c>
      <c r="C5" s="150"/>
      <c r="D5" s="150"/>
      <c r="E5" s="150"/>
      <c r="F5" s="151"/>
      <c r="G5" s="65" t="s">
        <v>28</v>
      </c>
      <c r="H5" s="92">
        <v>0.20899999999999999</v>
      </c>
    </row>
    <row r="6" spans="1:8" ht="30" x14ac:dyDescent="0.25">
      <c r="A6" s="71" t="s">
        <v>0</v>
      </c>
      <c r="B6" s="71" t="s">
        <v>151</v>
      </c>
      <c r="C6" s="72" t="s">
        <v>155</v>
      </c>
      <c r="D6" s="72" t="s">
        <v>29</v>
      </c>
      <c r="E6" s="73" t="s">
        <v>35</v>
      </c>
      <c r="F6" s="74" t="s">
        <v>63</v>
      </c>
      <c r="G6" s="74" t="s">
        <v>64</v>
      </c>
      <c r="H6" s="93" t="s">
        <v>59</v>
      </c>
    </row>
    <row r="7" spans="1:8" x14ac:dyDescent="0.25">
      <c r="A7" s="55">
        <v>1</v>
      </c>
      <c r="B7" s="56"/>
      <c r="C7" s="66" t="s">
        <v>135</v>
      </c>
      <c r="D7" s="57"/>
      <c r="E7" s="104"/>
      <c r="F7" s="58"/>
      <c r="G7" s="59"/>
      <c r="H7" s="94"/>
    </row>
    <row r="8" spans="1:8" ht="56.45" customHeight="1" x14ac:dyDescent="0.25">
      <c r="A8" s="39" t="s">
        <v>66</v>
      </c>
      <c r="B8" s="134" t="s">
        <v>185</v>
      </c>
      <c r="C8" s="67" t="s">
        <v>250</v>
      </c>
      <c r="D8" s="40" t="s">
        <v>29</v>
      </c>
      <c r="E8" s="105">
        <f>'memória de cálculo'!I3</f>
        <v>1</v>
      </c>
      <c r="F8" s="41">
        <v>483.23</v>
      </c>
      <c r="G8" s="41">
        <f>ROUND(F8*H$5+F8,2)</f>
        <v>584.23</v>
      </c>
      <c r="H8" s="95">
        <f>ROUND(G8*E8,2)</f>
        <v>584.23</v>
      </c>
    </row>
    <row r="9" spans="1:8" ht="15" customHeight="1" x14ac:dyDescent="0.25">
      <c r="A9" s="39" t="s">
        <v>145</v>
      </c>
      <c r="B9" s="42" t="s">
        <v>175</v>
      </c>
      <c r="C9" s="67" t="s">
        <v>174</v>
      </c>
      <c r="D9" s="40" t="s">
        <v>1</v>
      </c>
      <c r="E9" s="105">
        <f>'memória de cálculo'!I4</f>
        <v>128.66249999999999</v>
      </c>
      <c r="F9" s="41">
        <v>6</v>
      </c>
      <c r="G9" s="41">
        <f t="shared" ref="G9:G69" si="0">ROUND(F9*H$5+F9,2)</f>
        <v>7.25</v>
      </c>
      <c r="H9" s="95">
        <f t="shared" ref="H9" si="1">ROUND(G9*E9,2)</f>
        <v>932.8</v>
      </c>
    </row>
    <row r="10" spans="1:8" ht="15" customHeight="1" x14ac:dyDescent="0.25">
      <c r="A10" s="39"/>
      <c r="B10" s="52"/>
      <c r="C10" s="68"/>
      <c r="D10" s="48"/>
      <c r="E10" s="106" t="s">
        <v>2</v>
      </c>
      <c r="F10" s="48"/>
      <c r="G10" s="41"/>
      <c r="H10" s="96">
        <f>SUM(H8:H9)</f>
        <v>1517.03</v>
      </c>
    </row>
    <row r="11" spans="1:8" ht="15" customHeight="1" x14ac:dyDescent="0.25">
      <c r="A11" s="55">
        <v>2</v>
      </c>
      <c r="B11" s="56"/>
      <c r="C11" s="66" t="s">
        <v>3</v>
      </c>
      <c r="D11" s="57"/>
      <c r="E11" s="104"/>
      <c r="F11" s="58"/>
      <c r="G11" s="59"/>
      <c r="H11" s="94"/>
    </row>
    <row r="12" spans="1:8" ht="15" customHeight="1" x14ac:dyDescent="0.25">
      <c r="A12" s="39" t="s">
        <v>77</v>
      </c>
      <c r="B12" s="101" t="s">
        <v>186</v>
      </c>
      <c r="C12" s="88" t="s">
        <v>187</v>
      </c>
      <c r="D12" s="40" t="s">
        <v>4</v>
      </c>
      <c r="E12" s="105">
        <f>'memória de cálculo'!I6</f>
        <v>18.164999999999999</v>
      </c>
      <c r="F12" s="41">
        <v>44.2</v>
      </c>
      <c r="G12" s="41">
        <f t="shared" si="0"/>
        <v>53.44</v>
      </c>
      <c r="H12" s="95">
        <f>ROUND(G12*E12,2)</f>
        <v>970.74</v>
      </c>
    </row>
    <row r="13" spans="1:8" ht="15" customHeight="1" x14ac:dyDescent="0.25">
      <c r="A13" s="39" t="s">
        <v>76</v>
      </c>
      <c r="B13" s="101" t="s">
        <v>190</v>
      </c>
      <c r="C13" s="88" t="s">
        <v>191</v>
      </c>
      <c r="D13" s="40" t="s">
        <v>1</v>
      </c>
      <c r="E13" s="105">
        <f>'memória de cálculo'!I7</f>
        <v>28.44</v>
      </c>
      <c r="F13" s="41">
        <v>6.9</v>
      </c>
      <c r="G13" s="41">
        <f t="shared" si="0"/>
        <v>8.34</v>
      </c>
      <c r="H13" s="95">
        <f>ROUND(G13*E13,2)</f>
        <v>237.19</v>
      </c>
    </row>
    <row r="14" spans="1:8" ht="15" customHeight="1" x14ac:dyDescent="0.25">
      <c r="A14" s="39" t="s">
        <v>79</v>
      </c>
      <c r="B14" s="101" t="s">
        <v>188</v>
      </c>
      <c r="C14" s="88" t="s">
        <v>189</v>
      </c>
      <c r="D14" s="40" t="str">
        <f>D15</f>
        <v>M3</v>
      </c>
      <c r="E14" s="105">
        <f>'memória de cálculo'!I8</f>
        <v>12.388124999999999</v>
      </c>
      <c r="F14" s="41">
        <v>44.2</v>
      </c>
      <c r="G14" s="41">
        <f t="shared" si="0"/>
        <v>53.44</v>
      </c>
      <c r="H14" s="95">
        <f t="shared" ref="H14" si="2">ROUND(G14*E14,2)</f>
        <v>662.02</v>
      </c>
    </row>
    <row r="15" spans="1:8" ht="15" customHeight="1" x14ac:dyDescent="0.25">
      <c r="A15" s="39" t="s">
        <v>146</v>
      </c>
      <c r="B15" s="101" t="s">
        <v>235</v>
      </c>
      <c r="C15" s="88" t="s">
        <v>234</v>
      </c>
      <c r="D15" s="40" t="s">
        <v>4</v>
      </c>
      <c r="E15" s="105">
        <f>'memória de cálculo'!I9</f>
        <v>16.652000000000001</v>
      </c>
      <c r="F15" s="41">
        <v>30.8</v>
      </c>
      <c r="G15" s="41">
        <f t="shared" si="0"/>
        <v>37.24</v>
      </c>
      <c r="H15" s="95">
        <f>ROUND(G15*E15,2)</f>
        <v>620.12</v>
      </c>
    </row>
    <row r="16" spans="1:8" ht="15" customHeight="1" x14ac:dyDescent="0.25">
      <c r="A16" s="48"/>
      <c r="B16" s="52"/>
      <c r="C16" s="68"/>
      <c r="D16" s="48"/>
      <c r="E16" s="106" t="s">
        <v>2</v>
      </c>
      <c r="F16" s="48"/>
      <c r="G16" s="41"/>
      <c r="H16" s="96">
        <f>SUM(H11:H15)</f>
        <v>2490.0700000000002</v>
      </c>
    </row>
    <row r="17" spans="1:8" s="62" customFormat="1" ht="15" customHeight="1" x14ac:dyDescent="0.25">
      <c r="A17" s="55">
        <v>3</v>
      </c>
      <c r="B17" s="60"/>
      <c r="C17" s="66" t="s">
        <v>10</v>
      </c>
      <c r="D17" s="61"/>
      <c r="E17" s="104"/>
      <c r="F17" s="58"/>
      <c r="G17" s="59"/>
      <c r="H17" s="94"/>
    </row>
    <row r="18" spans="1:8" ht="30" x14ac:dyDescent="0.25">
      <c r="A18" s="39" t="s">
        <v>80</v>
      </c>
      <c r="B18" s="42" t="s">
        <v>195</v>
      </c>
      <c r="C18" s="69" t="s">
        <v>194</v>
      </c>
      <c r="D18" s="40" t="str">
        <f>D15</f>
        <v>M3</v>
      </c>
      <c r="E18" s="105">
        <f>'memória de cálculo'!I11</f>
        <v>1.4220000000000002</v>
      </c>
      <c r="F18" s="41">
        <v>322.47000000000003</v>
      </c>
      <c r="G18" s="41">
        <f t="shared" si="0"/>
        <v>389.87</v>
      </c>
      <c r="H18" s="95">
        <f t="shared" ref="H18" si="3">ROUND(G18*E18,2)</f>
        <v>554.4</v>
      </c>
    </row>
    <row r="19" spans="1:8" ht="15" customHeight="1" x14ac:dyDescent="0.25">
      <c r="A19" s="39" t="s">
        <v>81</v>
      </c>
      <c r="B19" s="42" t="s">
        <v>177</v>
      </c>
      <c r="C19" s="67" t="s">
        <v>176</v>
      </c>
      <c r="D19" s="40" t="s">
        <v>1</v>
      </c>
      <c r="E19" s="105">
        <f>'memória de cálculo'!I12</f>
        <v>60.749999999999993</v>
      </c>
      <c r="F19" s="41">
        <v>38.15</v>
      </c>
      <c r="G19" s="41">
        <f t="shared" si="0"/>
        <v>46.12</v>
      </c>
      <c r="H19" s="95">
        <f t="shared" ref="H19:H22" si="4">ROUND(G19*E19,2)</f>
        <v>2801.79</v>
      </c>
    </row>
    <row r="20" spans="1:8" ht="20.25" customHeight="1" x14ac:dyDescent="0.25">
      <c r="A20" s="39" t="s">
        <v>82</v>
      </c>
      <c r="B20" s="42" t="str">
        <f>B27</f>
        <v>ARM-AÇO-020</v>
      </c>
      <c r="C20" s="67" t="str">
        <f>C27</f>
        <v>CORTE, DOBRA E ARMAÇÃO DE AÇO CA-50/60</v>
      </c>
      <c r="D20" s="40" t="s">
        <v>11</v>
      </c>
      <c r="E20" s="105">
        <f>'memória de cálculo'!I13</f>
        <v>346.8</v>
      </c>
      <c r="F20" s="41">
        <v>7.2</v>
      </c>
      <c r="G20" s="41">
        <f t="shared" si="0"/>
        <v>8.6999999999999993</v>
      </c>
      <c r="H20" s="95">
        <f>ROUND(G20*E20,2)</f>
        <v>3017.16</v>
      </c>
    </row>
    <row r="21" spans="1:8" ht="30" x14ac:dyDescent="0.25">
      <c r="A21" s="39" t="s">
        <v>83</v>
      </c>
      <c r="B21" s="42" t="s">
        <v>181</v>
      </c>
      <c r="C21" s="67" t="s">
        <v>198</v>
      </c>
      <c r="D21" s="40" t="s">
        <v>4</v>
      </c>
      <c r="E21" s="105">
        <f>'memória de cálculo'!I14</f>
        <v>5.7768750000000004</v>
      </c>
      <c r="F21" s="41">
        <v>314.18</v>
      </c>
      <c r="G21" s="41">
        <f t="shared" si="0"/>
        <v>379.84</v>
      </c>
      <c r="H21" s="95">
        <f t="shared" si="4"/>
        <v>2194.29</v>
      </c>
    </row>
    <row r="22" spans="1:8" ht="30" x14ac:dyDescent="0.25">
      <c r="A22" s="39" t="s">
        <v>84</v>
      </c>
      <c r="B22" s="42" t="s">
        <v>180</v>
      </c>
      <c r="C22" s="67" t="s">
        <v>182</v>
      </c>
      <c r="D22" s="40" t="s">
        <v>4</v>
      </c>
      <c r="E22" s="105">
        <f>'memória de cálculo'!I15</f>
        <v>5.7768750000000004</v>
      </c>
      <c r="F22" s="41">
        <v>65.7</v>
      </c>
      <c r="G22" s="41">
        <f t="shared" si="0"/>
        <v>79.430000000000007</v>
      </c>
      <c r="H22" s="95">
        <f t="shared" si="4"/>
        <v>458.86</v>
      </c>
    </row>
    <row r="23" spans="1:8" x14ac:dyDescent="0.25">
      <c r="A23" s="39" t="s">
        <v>154</v>
      </c>
      <c r="B23" s="42" t="s">
        <v>200</v>
      </c>
      <c r="C23" s="67" t="s">
        <v>199</v>
      </c>
      <c r="D23" s="40" t="s">
        <v>1</v>
      </c>
      <c r="E23" s="105">
        <f>'memória de cálculo'!I16</f>
        <v>31.950000000000003</v>
      </c>
      <c r="F23" s="41">
        <v>18.2</v>
      </c>
      <c r="G23" s="41">
        <f t="shared" si="0"/>
        <v>22</v>
      </c>
      <c r="H23" s="95">
        <f>ROUND(G23*E23,2)</f>
        <v>702.9</v>
      </c>
    </row>
    <row r="24" spans="1:8" x14ac:dyDescent="0.25">
      <c r="A24" s="48"/>
      <c r="B24" s="52"/>
      <c r="C24" s="68"/>
      <c r="D24" s="48"/>
      <c r="E24" s="107" t="s">
        <v>2</v>
      </c>
      <c r="F24" s="48"/>
      <c r="G24" s="41"/>
      <c r="H24" s="96">
        <f>SUM(H18:H23)</f>
        <v>9729.4</v>
      </c>
    </row>
    <row r="25" spans="1:8" s="62" customFormat="1" x14ac:dyDescent="0.25">
      <c r="A25" s="55">
        <v>4</v>
      </c>
      <c r="B25" s="60"/>
      <c r="C25" s="66" t="s">
        <v>159</v>
      </c>
      <c r="D25" s="61"/>
      <c r="E25" s="104"/>
      <c r="F25" s="58"/>
      <c r="G25" s="59"/>
      <c r="H25" s="94"/>
    </row>
    <row r="26" spans="1:8" ht="15" customHeight="1" x14ac:dyDescent="0.25">
      <c r="A26" s="39" t="s">
        <v>85</v>
      </c>
      <c r="B26" s="42" t="str">
        <f>B19</f>
        <v>FUN-FOR-005</v>
      </c>
      <c r="C26" s="69" t="str">
        <f>C19</f>
        <v>FORMA E DESFORMA EM TÁBUAS DE PINHO (3X)</v>
      </c>
      <c r="D26" s="40" t="s">
        <v>1</v>
      </c>
      <c r="E26" s="105">
        <f>'memória de cálculo'!I18</f>
        <v>76.212000000000003</v>
      </c>
      <c r="F26" s="41">
        <f>+F19</f>
        <v>38.15</v>
      </c>
      <c r="G26" s="41">
        <f t="shared" si="0"/>
        <v>46.12</v>
      </c>
      <c r="H26" s="95">
        <f>ROUND(G26*E26,2)</f>
        <v>3514.9</v>
      </c>
    </row>
    <row r="27" spans="1:8" ht="23.25" customHeight="1" x14ac:dyDescent="0.25">
      <c r="A27" s="39" t="s">
        <v>86</v>
      </c>
      <c r="B27" s="42" t="s">
        <v>179</v>
      </c>
      <c r="C27" s="67" t="s">
        <v>178</v>
      </c>
      <c r="D27" s="40" t="s">
        <v>11</v>
      </c>
      <c r="E27" s="105">
        <f>'memória de cálculo'!I19</f>
        <v>494.4</v>
      </c>
      <c r="F27" s="41">
        <v>7.2</v>
      </c>
      <c r="G27" s="41">
        <f t="shared" si="0"/>
        <v>8.6999999999999993</v>
      </c>
      <c r="H27" s="95">
        <f>ROUND(G27*E27,2)</f>
        <v>4301.28</v>
      </c>
    </row>
    <row r="28" spans="1:8" ht="30" customHeight="1" x14ac:dyDescent="0.25">
      <c r="A28" s="39" t="s">
        <v>87</v>
      </c>
      <c r="B28" s="42" t="str">
        <f>B21</f>
        <v>ED-8486</v>
      </c>
      <c r="C28" s="67" t="str">
        <f>C21</f>
        <v>CONCRETO ESTRUTURAL, PREPARADO EM OBRA COM BETONEIRA, CONTROLE "A", COM FCK 20 MPA ,BRITA Nº (1E2), CONSISTÊNCIA PARA VIBRAÇÃO (FABRICAÇÃO)</v>
      </c>
      <c r="D28" s="40" t="s">
        <v>4</v>
      </c>
      <c r="E28" s="105">
        <f>'memória de cálculo'!I20</f>
        <v>6.1784999999999997</v>
      </c>
      <c r="F28" s="41">
        <f>F21</f>
        <v>314.18</v>
      </c>
      <c r="G28" s="41">
        <f t="shared" si="0"/>
        <v>379.84</v>
      </c>
      <c r="H28" s="95">
        <f>ROUND(G28*E28,2)</f>
        <v>2346.84</v>
      </c>
    </row>
    <row r="29" spans="1:8" ht="30" customHeight="1" x14ac:dyDescent="0.25">
      <c r="A29" s="39" t="s">
        <v>88</v>
      </c>
      <c r="B29" s="42" t="str">
        <f>B22</f>
        <v>ED-8504</v>
      </c>
      <c r="C29" s="67" t="str">
        <f>C22</f>
        <v>LANÇAMENTO DE CONCRETO EM ESTRUTURA, INCLUSIVE TRANSPORTE ATÉ O LOCAL DE APLICAÇÃO, EXCLUSIVE APLICAÇÃO</v>
      </c>
      <c r="D29" s="40" t="s">
        <v>4</v>
      </c>
      <c r="E29" s="105">
        <f>'memória de cálculo'!I21</f>
        <v>6.1784999999999997</v>
      </c>
      <c r="F29" s="41">
        <f>F22</f>
        <v>65.7</v>
      </c>
      <c r="G29" s="41">
        <f t="shared" si="0"/>
        <v>79.430000000000007</v>
      </c>
      <c r="H29" s="95">
        <f t="shared" ref="H29:H31" si="5">ROUND(G29*E29,2)</f>
        <v>490.76</v>
      </c>
    </row>
    <row r="30" spans="1:8" ht="30" customHeight="1" x14ac:dyDescent="0.25">
      <c r="A30" s="39" t="s">
        <v>89</v>
      </c>
      <c r="B30" s="42"/>
      <c r="C30" s="67" t="s">
        <v>289</v>
      </c>
      <c r="D30" s="40" t="s">
        <v>6</v>
      </c>
      <c r="E30" s="105">
        <f>'memória de cálculo'!I22</f>
        <v>7.8</v>
      </c>
      <c r="F30" s="41">
        <v>20.2</v>
      </c>
      <c r="G30" s="41">
        <f t="shared" si="0"/>
        <v>24.42</v>
      </c>
      <c r="H30" s="95">
        <f t="shared" si="5"/>
        <v>190.48</v>
      </c>
    </row>
    <row r="31" spans="1:8" ht="30" x14ac:dyDescent="0.25">
      <c r="A31" s="39" t="s">
        <v>290</v>
      </c>
      <c r="B31" s="42" t="s">
        <v>201</v>
      </c>
      <c r="C31" s="67" t="s">
        <v>217</v>
      </c>
      <c r="D31" s="40" t="s">
        <v>1</v>
      </c>
      <c r="E31" s="105">
        <f>'memória de cálculo'!I23</f>
        <v>91.74</v>
      </c>
      <c r="F31" s="41">
        <v>68.400000000000006</v>
      </c>
      <c r="G31" s="41">
        <f t="shared" si="0"/>
        <v>82.7</v>
      </c>
      <c r="H31" s="95">
        <f t="shared" si="5"/>
        <v>7586.9</v>
      </c>
    </row>
    <row r="32" spans="1:8" x14ac:dyDescent="0.25">
      <c r="A32" s="39"/>
      <c r="B32" s="52"/>
      <c r="C32" s="68"/>
      <c r="D32" s="48"/>
      <c r="E32" s="107" t="str">
        <f>E24</f>
        <v>TOTAL</v>
      </c>
      <c r="F32" s="48"/>
      <c r="G32" s="41"/>
      <c r="H32" s="96">
        <f>SUM(H26:H31)</f>
        <v>18431.16</v>
      </c>
    </row>
    <row r="33" spans="1:8" s="62" customFormat="1" x14ac:dyDescent="0.25">
      <c r="A33" s="55">
        <v>5</v>
      </c>
      <c r="B33" s="60"/>
      <c r="C33" s="66" t="s">
        <v>34</v>
      </c>
      <c r="D33" s="61"/>
      <c r="E33" s="104"/>
      <c r="F33" s="58"/>
      <c r="G33" s="59"/>
      <c r="H33" s="94"/>
    </row>
    <row r="34" spans="1:8" ht="45" x14ac:dyDescent="0.25">
      <c r="A34" s="39" t="s">
        <v>90</v>
      </c>
      <c r="B34" s="42" t="s">
        <v>197</v>
      </c>
      <c r="C34" s="67" t="s">
        <v>196</v>
      </c>
      <c r="D34" s="40" t="s">
        <v>1</v>
      </c>
      <c r="E34" s="108">
        <f>'memória de cálculo'!I25</f>
        <v>85.65</v>
      </c>
      <c r="F34" s="43">
        <v>39.74</v>
      </c>
      <c r="G34" s="41">
        <f>ROUND(F34*H$5+F34,2)</f>
        <v>48.05</v>
      </c>
      <c r="H34" s="95">
        <f>ROUND(G34*E34,2)</f>
        <v>4115.4799999999996</v>
      </c>
    </row>
    <row r="35" spans="1:8" ht="45" x14ac:dyDescent="0.25">
      <c r="A35" s="39" t="s">
        <v>91</v>
      </c>
      <c r="B35" s="42" t="s">
        <v>147</v>
      </c>
      <c r="C35" s="67" t="s">
        <v>202</v>
      </c>
      <c r="D35" s="40" t="s">
        <v>1</v>
      </c>
      <c r="E35" s="108">
        <f>'memória de cálculo'!I26</f>
        <v>85.65</v>
      </c>
      <c r="F35" s="41">
        <v>39.74</v>
      </c>
      <c r="G35" s="41">
        <f t="shared" si="0"/>
        <v>48.05</v>
      </c>
      <c r="H35" s="95">
        <f>ROUND(G35*E35,2)</f>
        <v>4115.4799999999996</v>
      </c>
    </row>
    <row r="36" spans="1:8" ht="15" customHeight="1" x14ac:dyDescent="0.25">
      <c r="A36" s="39" t="s">
        <v>92</v>
      </c>
      <c r="B36" s="42" t="s">
        <v>204</v>
      </c>
      <c r="C36" s="67" t="s">
        <v>203</v>
      </c>
      <c r="D36" s="40" t="s">
        <v>6</v>
      </c>
      <c r="E36" s="108">
        <f>'memória de cálculo'!I27</f>
        <v>9.1</v>
      </c>
      <c r="F36" s="41">
        <v>28.5</v>
      </c>
      <c r="G36" s="41">
        <f t="shared" si="0"/>
        <v>34.46</v>
      </c>
      <c r="H36" s="95">
        <f t="shared" ref="H36:H38" si="6">ROUND(G36*E36,2)</f>
        <v>313.58999999999997</v>
      </c>
    </row>
    <row r="37" spans="1:8" ht="15" customHeight="1" x14ac:dyDescent="0.25">
      <c r="A37" s="39" t="s">
        <v>78</v>
      </c>
      <c r="B37" s="42" t="s">
        <v>205</v>
      </c>
      <c r="C37" s="67" t="s">
        <v>208</v>
      </c>
      <c r="D37" s="40" t="s">
        <v>6</v>
      </c>
      <c r="E37" s="108">
        <f>'memória de cálculo'!I28</f>
        <v>50.47</v>
      </c>
      <c r="F37" s="41">
        <v>22.5</v>
      </c>
      <c r="G37" s="41">
        <f t="shared" ref="G37:G38" si="7">ROUND(F37*H$5+F37,2)</f>
        <v>27.2</v>
      </c>
      <c r="H37" s="95">
        <f t="shared" si="6"/>
        <v>1372.78</v>
      </c>
    </row>
    <row r="38" spans="1:8" ht="15" customHeight="1" x14ac:dyDescent="0.25">
      <c r="A38" s="39" t="s">
        <v>238</v>
      </c>
      <c r="B38" s="42" t="s">
        <v>206</v>
      </c>
      <c r="C38" s="67" t="s">
        <v>207</v>
      </c>
      <c r="D38" s="40" t="s">
        <v>6</v>
      </c>
      <c r="E38" s="108">
        <f>'memória de cálculo'!I29</f>
        <v>32.1</v>
      </c>
      <c r="F38" s="41">
        <v>41.84</v>
      </c>
      <c r="G38" s="41">
        <f t="shared" si="7"/>
        <v>50.58</v>
      </c>
      <c r="H38" s="95">
        <f t="shared" si="6"/>
        <v>1623.62</v>
      </c>
    </row>
    <row r="39" spans="1:8" ht="26.45" customHeight="1" x14ac:dyDescent="0.25">
      <c r="A39" s="39" t="s">
        <v>239</v>
      </c>
      <c r="B39" s="42" t="s">
        <v>211</v>
      </c>
      <c r="C39" s="67" t="s">
        <v>212</v>
      </c>
      <c r="D39" s="40" t="s">
        <v>6</v>
      </c>
      <c r="E39" s="108">
        <f>'memória de cálculo'!I30</f>
        <v>50.47</v>
      </c>
      <c r="F39" s="41">
        <v>33.200000000000003</v>
      </c>
      <c r="G39" s="41">
        <f t="shared" si="0"/>
        <v>40.14</v>
      </c>
      <c r="H39" s="95">
        <f t="shared" ref="H39:H40" si="8">ROUND(G39*E39,2)</f>
        <v>2025.87</v>
      </c>
    </row>
    <row r="40" spans="1:8" ht="28.15" customHeight="1" x14ac:dyDescent="0.25">
      <c r="A40" s="39" t="s">
        <v>240</v>
      </c>
      <c r="B40" s="42" t="s">
        <v>209</v>
      </c>
      <c r="C40" s="67" t="s">
        <v>210</v>
      </c>
      <c r="D40" s="40" t="s">
        <v>6</v>
      </c>
      <c r="E40" s="108">
        <f>'memória de cálculo'!I31</f>
        <v>12</v>
      </c>
      <c r="F40" s="41">
        <v>20.2</v>
      </c>
      <c r="G40" s="41">
        <f t="shared" si="0"/>
        <v>24.42</v>
      </c>
      <c r="H40" s="95">
        <f t="shared" si="8"/>
        <v>293.04000000000002</v>
      </c>
    </row>
    <row r="41" spans="1:8" ht="15" customHeight="1" x14ac:dyDescent="0.25">
      <c r="A41" s="39"/>
      <c r="B41" s="42"/>
      <c r="C41" s="67"/>
      <c r="D41" s="40"/>
      <c r="E41" s="107" t="str">
        <f>E32</f>
        <v>TOTAL</v>
      </c>
      <c r="F41" s="48"/>
      <c r="G41" s="41"/>
      <c r="H41" s="96">
        <f>SUM(H34:H40)</f>
        <v>13859.86</v>
      </c>
    </row>
    <row r="42" spans="1:8" s="62" customFormat="1" ht="15" customHeight="1" x14ac:dyDescent="0.25">
      <c r="A42" s="55">
        <v>6</v>
      </c>
      <c r="B42" s="60"/>
      <c r="C42" s="66" t="s">
        <v>12</v>
      </c>
      <c r="D42" s="61"/>
      <c r="E42" s="109"/>
      <c r="F42" s="58"/>
      <c r="G42" s="59"/>
      <c r="H42" s="94"/>
    </row>
    <row r="43" spans="1:8" ht="31.15" customHeight="1" x14ac:dyDescent="0.25">
      <c r="A43" s="39" t="s">
        <v>93</v>
      </c>
      <c r="B43" s="87" t="s">
        <v>184</v>
      </c>
      <c r="C43" s="86" t="s">
        <v>183</v>
      </c>
      <c r="D43" s="84" t="s">
        <v>1</v>
      </c>
      <c r="E43" s="105">
        <f>'memória de cálculo'!I33</f>
        <v>255</v>
      </c>
      <c r="F43" s="49">
        <v>35.5</v>
      </c>
      <c r="G43" s="49">
        <f t="shared" si="0"/>
        <v>42.92</v>
      </c>
      <c r="H43" s="97">
        <f>ROUND(G43*E43,2)</f>
        <v>10944.6</v>
      </c>
    </row>
    <row r="44" spans="1:8" x14ac:dyDescent="0.25">
      <c r="A44" s="39" t="s">
        <v>150</v>
      </c>
      <c r="B44" s="42" t="s">
        <v>280</v>
      </c>
      <c r="C44" s="85" t="s">
        <v>136</v>
      </c>
      <c r="D44" s="84" t="str">
        <f>D43</f>
        <v>M2</v>
      </c>
      <c r="E44" s="105">
        <f>'memória de cálculo'!I34</f>
        <v>0.92999999999999994</v>
      </c>
      <c r="F44" s="49">
        <f>F45</f>
        <v>188.2</v>
      </c>
      <c r="G44" s="49">
        <f>ROUND(F44*H$5+F44,2)</f>
        <v>227.53</v>
      </c>
      <c r="H44" s="97">
        <f>ROUND(G44*E44,2)</f>
        <v>211.6</v>
      </c>
    </row>
    <row r="45" spans="1:8" x14ac:dyDescent="0.25">
      <c r="A45" s="39" t="s">
        <v>281</v>
      </c>
      <c r="B45" s="42" t="s">
        <v>279</v>
      </c>
      <c r="C45" s="85" t="s">
        <v>278</v>
      </c>
      <c r="D45" s="84" t="str">
        <f>D43</f>
        <v>M2</v>
      </c>
      <c r="E45" s="105">
        <f>'memória de cálculo'!I35</f>
        <v>1.5479999999999998</v>
      </c>
      <c r="F45" s="49">
        <v>188.2</v>
      </c>
      <c r="G45" s="49">
        <f>ROUND(F45*H$5+F45,2)</f>
        <v>227.53</v>
      </c>
      <c r="H45" s="97">
        <f>ROUND(G45*E45,2)</f>
        <v>352.22</v>
      </c>
    </row>
    <row r="46" spans="1:8" x14ac:dyDescent="0.25">
      <c r="A46" s="48"/>
      <c r="B46" s="52"/>
      <c r="C46" s="68"/>
      <c r="D46" s="48"/>
      <c r="E46" s="106" t="s">
        <v>2</v>
      </c>
      <c r="F46" s="48"/>
      <c r="G46" s="41"/>
      <c r="H46" s="96">
        <f>SUM(H43:H45)</f>
        <v>11508.42</v>
      </c>
    </row>
    <row r="47" spans="1:8" s="62" customFormat="1" x14ac:dyDescent="0.25">
      <c r="A47" s="55">
        <v>7</v>
      </c>
      <c r="B47" s="60"/>
      <c r="C47" s="66" t="s">
        <v>13</v>
      </c>
      <c r="D47" s="61"/>
      <c r="E47" s="104"/>
      <c r="F47" s="58"/>
      <c r="G47" s="59"/>
      <c r="H47" s="94"/>
    </row>
    <row r="48" spans="1:8" s="75" customFormat="1" ht="46.9" customHeight="1" x14ac:dyDescent="0.25">
      <c r="A48" s="80" t="s">
        <v>9</v>
      </c>
      <c r="B48" s="81" t="s">
        <v>261</v>
      </c>
      <c r="C48" s="82" t="s">
        <v>260</v>
      </c>
      <c r="D48" s="83" t="s">
        <v>1</v>
      </c>
      <c r="E48" s="105">
        <f>'memória de cálculo'!I37</f>
        <v>12.379999999999999</v>
      </c>
      <c r="F48" s="54">
        <v>308.2</v>
      </c>
      <c r="G48" s="54">
        <f t="shared" si="0"/>
        <v>372.61</v>
      </c>
      <c r="H48" s="98">
        <f>ROUND(G48*E48,2)</f>
        <v>4612.91</v>
      </c>
    </row>
    <row r="49" spans="1:8" s="75" customFormat="1" ht="46.15" customHeight="1" x14ac:dyDescent="0.25">
      <c r="A49" s="80" t="s">
        <v>94</v>
      </c>
      <c r="B49" s="81" t="s">
        <v>149</v>
      </c>
      <c r="C49" s="82" t="s">
        <v>262</v>
      </c>
      <c r="D49" s="83" t="str">
        <f>D48</f>
        <v>M2</v>
      </c>
      <c r="E49" s="105">
        <f>'memória de cálculo'!I38</f>
        <v>8</v>
      </c>
      <c r="F49" s="54">
        <v>405.1</v>
      </c>
      <c r="G49" s="54">
        <f t="shared" ref="G49" si="9">ROUND(F49*H$5+F49,2)</f>
        <v>489.77</v>
      </c>
      <c r="H49" s="98">
        <f t="shared" ref="H49:H55" si="10">ROUND(G49*E49,2)</f>
        <v>3918.16</v>
      </c>
    </row>
    <row r="50" spans="1:8" s="75" customFormat="1" ht="30" customHeight="1" x14ac:dyDescent="0.25">
      <c r="A50" s="80" t="s">
        <v>95</v>
      </c>
      <c r="B50" s="81" t="s">
        <v>264</v>
      </c>
      <c r="C50" s="82" t="s">
        <v>263</v>
      </c>
      <c r="D50" s="83" t="str">
        <f>D53</f>
        <v>UN</v>
      </c>
      <c r="E50" s="105">
        <f>'memória de cálculo'!I39</f>
        <v>1</v>
      </c>
      <c r="F50" s="54">
        <v>302.3</v>
      </c>
      <c r="G50" s="54">
        <f t="shared" ref="G50" si="11">ROUND(F50*H$5+F50,2)</f>
        <v>365.48</v>
      </c>
      <c r="H50" s="98">
        <f t="shared" si="10"/>
        <v>365.48</v>
      </c>
    </row>
    <row r="51" spans="1:8" s="75" customFormat="1" ht="30" customHeight="1" x14ac:dyDescent="0.25">
      <c r="A51" s="80" t="s">
        <v>96</v>
      </c>
      <c r="B51" s="81" t="s">
        <v>268</v>
      </c>
      <c r="C51" s="82" t="s">
        <v>267</v>
      </c>
      <c r="D51" s="83" t="str">
        <f>D50</f>
        <v>UN</v>
      </c>
      <c r="E51" s="105">
        <f>'memória de cálculo'!I40</f>
        <v>2</v>
      </c>
      <c r="F51" s="54">
        <v>412</v>
      </c>
      <c r="G51" s="54">
        <f t="shared" ref="G51" si="12">ROUND(F51*H$5+F51,2)</f>
        <v>498.11</v>
      </c>
      <c r="H51" s="98">
        <f t="shared" si="10"/>
        <v>996.22</v>
      </c>
    </row>
    <row r="52" spans="1:8" s="75" customFormat="1" ht="30" customHeight="1" x14ac:dyDescent="0.25">
      <c r="A52" s="80" t="s">
        <v>130</v>
      </c>
      <c r="B52" s="81" t="s">
        <v>266</v>
      </c>
      <c r="C52" s="82" t="s">
        <v>265</v>
      </c>
      <c r="D52" s="83" t="str">
        <f>D54</f>
        <v>UN</v>
      </c>
      <c r="E52" s="105">
        <f>'memória de cálculo'!I41</f>
        <v>2</v>
      </c>
      <c r="F52" s="54">
        <v>420.3</v>
      </c>
      <c r="G52" s="54">
        <f t="shared" ref="G52" si="13">ROUND(F52*H$5+F52,2)</f>
        <v>508.14</v>
      </c>
      <c r="H52" s="98">
        <f t="shared" si="10"/>
        <v>1016.28</v>
      </c>
    </row>
    <row r="53" spans="1:8" s="75" customFormat="1" ht="30" customHeight="1" x14ac:dyDescent="0.25">
      <c r="A53" s="80" t="s">
        <v>131</v>
      </c>
      <c r="B53" s="81" t="s">
        <v>67</v>
      </c>
      <c r="C53" s="82" t="s">
        <v>241</v>
      </c>
      <c r="D53" s="83" t="s">
        <v>14</v>
      </c>
      <c r="E53" s="105">
        <v>1</v>
      </c>
      <c r="F53" s="54">
        <v>68</v>
      </c>
      <c r="G53" s="54">
        <f t="shared" si="0"/>
        <v>82.21</v>
      </c>
      <c r="H53" s="98">
        <f t="shared" si="10"/>
        <v>82.21</v>
      </c>
    </row>
    <row r="54" spans="1:8" s="75" customFormat="1" ht="15" customHeight="1" x14ac:dyDescent="0.25">
      <c r="A54" s="80" t="s">
        <v>132</v>
      </c>
      <c r="B54" s="81" t="s">
        <v>141</v>
      </c>
      <c r="C54" s="82" t="s">
        <v>142</v>
      </c>
      <c r="D54" s="83" t="s">
        <v>14</v>
      </c>
      <c r="E54" s="105">
        <f>'memória de cálculo'!I43</f>
        <v>1</v>
      </c>
      <c r="F54" s="54">
        <v>75</v>
      </c>
      <c r="G54" s="54">
        <f t="shared" si="0"/>
        <v>90.68</v>
      </c>
      <c r="H54" s="98">
        <f t="shared" si="10"/>
        <v>90.68</v>
      </c>
    </row>
    <row r="55" spans="1:8" s="75" customFormat="1" ht="18" customHeight="1" x14ac:dyDescent="0.25">
      <c r="A55" s="80" t="s">
        <v>143</v>
      </c>
      <c r="B55" s="81" t="s">
        <v>259</v>
      </c>
      <c r="C55" s="82" t="s">
        <v>258</v>
      </c>
      <c r="D55" s="83" t="s">
        <v>1</v>
      </c>
      <c r="E55" s="105">
        <f>'memória de cálculo'!I44</f>
        <v>16.5</v>
      </c>
      <c r="F55" s="54">
        <v>258.2</v>
      </c>
      <c r="G55" s="54">
        <f t="shared" si="0"/>
        <v>312.16000000000003</v>
      </c>
      <c r="H55" s="98">
        <f t="shared" si="10"/>
        <v>5150.6400000000003</v>
      </c>
    </row>
    <row r="56" spans="1:8" x14ac:dyDescent="0.25">
      <c r="A56" s="48"/>
      <c r="B56" s="52"/>
      <c r="C56" s="68"/>
      <c r="D56" s="48"/>
      <c r="E56" s="106" t="s">
        <v>2</v>
      </c>
      <c r="F56" s="48"/>
      <c r="G56" s="41"/>
      <c r="H56" s="96">
        <f>SUM(H48:H55)</f>
        <v>16232.579999999998</v>
      </c>
    </row>
    <row r="57" spans="1:8" s="62" customFormat="1" x14ac:dyDescent="0.25">
      <c r="A57" s="55">
        <v>8</v>
      </c>
      <c r="B57" s="60"/>
      <c r="C57" s="66" t="s">
        <v>15</v>
      </c>
      <c r="D57" s="61"/>
      <c r="E57" s="104"/>
      <c r="F57" s="58"/>
      <c r="G57" s="59"/>
      <c r="H57" s="94"/>
    </row>
    <row r="58" spans="1:8" ht="30" customHeight="1" x14ac:dyDescent="0.25">
      <c r="A58" s="39" t="s">
        <v>18</v>
      </c>
      <c r="B58" s="42" t="s">
        <v>167</v>
      </c>
      <c r="C58" s="67" t="s">
        <v>68</v>
      </c>
      <c r="D58" s="40" t="s">
        <v>16</v>
      </c>
      <c r="E58" s="105">
        <v>2</v>
      </c>
      <c r="F58" s="41">
        <v>43.2</v>
      </c>
      <c r="G58" s="41">
        <f t="shared" si="0"/>
        <v>52.23</v>
      </c>
      <c r="H58" s="95">
        <f>ROUND(G58*E58,2)</f>
        <v>104.46</v>
      </c>
    </row>
    <row r="59" spans="1:8" ht="30" customHeight="1" x14ac:dyDescent="0.25">
      <c r="A59" s="39" t="s">
        <v>97</v>
      </c>
      <c r="B59" s="42" t="s">
        <v>168</v>
      </c>
      <c r="C59" s="67" t="s">
        <v>69</v>
      </c>
      <c r="D59" s="40" t="s">
        <v>16</v>
      </c>
      <c r="E59" s="105">
        <v>3</v>
      </c>
      <c r="F59" s="41">
        <v>61.47</v>
      </c>
      <c r="G59" s="41">
        <f t="shared" si="0"/>
        <v>74.319999999999993</v>
      </c>
      <c r="H59" s="95">
        <f t="shared" ref="H59:H75" si="14">ROUND(G59*E59,2)</f>
        <v>222.96</v>
      </c>
    </row>
    <row r="60" spans="1:8" ht="30" customHeight="1" x14ac:dyDescent="0.25">
      <c r="A60" s="39" t="s">
        <v>65</v>
      </c>
      <c r="B60" s="42" t="s">
        <v>169</v>
      </c>
      <c r="C60" s="67" t="s">
        <v>70</v>
      </c>
      <c r="D60" s="40" t="s">
        <v>16</v>
      </c>
      <c r="E60" s="105">
        <v>2</v>
      </c>
      <c r="F60" s="41">
        <f>+F59</f>
        <v>61.47</v>
      </c>
      <c r="G60" s="41">
        <f t="shared" si="0"/>
        <v>74.319999999999993</v>
      </c>
      <c r="H60" s="95">
        <f t="shared" si="14"/>
        <v>148.63999999999999</v>
      </c>
    </row>
    <row r="61" spans="1:8" ht="30" customHeight="1" x14ac:dyDescent="0.25">
      <c r="A61" s="39" t="s">
        <v>98</v>
      </c>
      <c r="B61" s="42" t="s">
        <v>170</v>
      </c>
      <c r="C61" s="67" t="s">
        <v>75</v>
      </c>
      <c r="D61" s="40" t="s">
        <v>16</v>
      </c>
      <c r="E61" s="105">
        <v>6</v>
      </c>
      <c r="F61" s="41">
        <v>85.83</v>
      </c>
      <c r="G61" s="41">
        <f t="shared" si="0"/>
        <v>103.77</v>
      </c>
      <c r="H61" s="95">
        <f t="shared" si="14"/>
        <v>622.62</v>
      </c>
    </row>
    <row r="62" spans="1:8" ht="30" customHeight="1" x14ac:dyDescent="0.25">
      <c r="A62" s="39" t="s">
        <v>99</v>
      </c>
      <c r="B62" s="42">
        <v>89984</v>
      </c>
      <c r="C62" s="67" t="s">
        <v>214</v>
      </c>
      <c r="D62" s="40" t="s">
        <v>16</v>
      </c>
      <c r="E62" s="105">
        <v>3</v>
      </c>
      <c r="F62" s="41">
        <v>60.2</v>
      </c>
      <c r="G62" s="41">
        <f t="shared" si="0"/>
        <v>72.78</v>
      </c>
      <c r="H62" s="95">
        <f t="shared" si="14"/>
        <v>218.34</v>
      </c>
    </row>
    <row r="63" spans="1:8" ht="59.45" customHeight="1" x14ac:dyDescent="0.25">
      <c r="A63" s="39" t="s">
        <v>100</v>
      </c>
      <c r="B63" s="42">
        <v>94794</v>
      </c>
      <c r="C63" s="67" t="s">
        <v>213</v>
      </c>
      <c r="D63" s="40" t="s">
        <v>16</v>
      </c>
      <c r="E63" s="105">
        <v>2</v>
      </c>
      <c r="F63" s="41">
        <v>125.7</v>
      </c>
      <c r="G63" s="41">
        <f t="shared" si="0"/>
        <v>151.97</v>
      </c>
      <c r="H63" s="95">
        <f t="shared" si="14"/>
        <v>303.94</v>
      </c>
    </row>
    <row r="64" spans="1:8" ht="30" customHeight="1" x14ac:dyDescent="0.25">
      <c r="A64" s="39" t="s">
        <v>101</v>
      </c>
      <c r="B64" s="42">
        <v>99635</v>
      </c>
      <c r="C64" s="67" t="s">
        <v>222</v>
      </c>
      <c r="D64" s="40" t="s">
        <v>14</v>
      </c>
      <c r="E64" s="105">
        <v>2</v>
      </c>
      <c r="F64" s="41">
        <v>214.35</v>
      </c>
      <c r="G64" s="41">
        <f t="shared" si="0"/>
        <v>259.14999999999998</v>
      </c>
      <c r="H64" s="95">
        <f t="shared" si="14"/>
        <v>518.29999999999995</v>
      </c>
    </row>
    <row r="65" spans="1:8" ht="46.9" customHeight="1" x14ac:dyDescent="0.25">
      <c r="A65" s="39" t="s">
        <v>102</v>
      </c>
      <c r="B65" s="42">
        <v>89707</v>
      </c>
      <c r="C65" s="69" t="s">
        <v>223</v>
      </c>
      <c r="D65" s="40" t="s">
        <v>14</v>
      </c>
      <c r="E65" s="105">
        <v>3</v>
      </c>
      <c r="F65" s="41">
        <v>21.7</v>
      </c>
      <c r="G65" s="41">
        <f t="shared" si="0"/>
        <v>26.24</v>
      </c>
      <c r="H65" s="95">
        <f t="shared" si="14"/>
        <v>78.72</v>
      </c>
    </row>
    <row r="66" spans="1:8" ht="30" customHeight="1" x14ac:dyDescent="0.25">
      <c r="A66" s="39" t="s">
        <v>103</v>
      </c>
      <c r="B66" s="42">
        <v>95469</v>
      </c>
      <c r="C66" s="67" t="s">
        <v>224</v>
      </c>
      <c r="D66" s="40" t="s">
        <v>14</v>
      </c>
      <c r="E66" s="105">
        <v>2</v>
      </c>
      <c r="F66" s="41">
        <v>162</v>
      </c>
      <c r="G66" s="41">
        <f t="shared" si="0"/>
        <v>195.86</v>
      </c>
      <c r="H66" s="95">
        <f t="shared" si="14"/>
        <v>391.72</v>
      </c>
    </row>
    <row r="67" spans="1:8" ht="30" customHeight="1" x14ac:dyDescent="0.25">
      <c r="A67" s="39" t="s">
        <v>104</v>
      </c>
      <c r="B67" s="42">
        <v>86904</v>
      </c>
      <c r="C67" s="67" t="s">
        <v>225</v>
      </c>
      <c r="D67" s="40" t="s">
        <v>14</v>
      </c>
      <c r="E67" s="105">
        <v>2</v>
      </c>
      <c r="F67" s="41">
        <v>102.2</v>
      </c>
      <c r="G67" s="41">
        <f t="shared" si="0"/>
        <v>123.56</v>
      </c>
      <c r="H67" s="95">
        <f t="shared" si="14"/>
        <v>247.12</v>
      </c>
    </row>
    <row r="68" spans="1:8" ht="15" customHeight="1" x14ac:dyDescent="0.25">
      <c r="A68" s="39" t="s">
        <v>105</v>
      </c>
      <c r="B68" s="42" t="s">
        <v>166</v>
      </c>
      <c r="C68" s="67" t="s">
        <v>134</v>
      </c>
      <c r="D68" s="40" t="s">
        <v>14</v>
      </c>
      <c r="E68" s="105">
        <v>2</v>
      </c>
      <c r="F68" s="41">
        <v>98.1</v>
      </c>
      <c r="G68" s="41">
        <f t="shared" si="0"/>
        <v>118.6</v>
      </c>
      <c r="H68" s="95">
        <f t="shared" si="14"/>
        <v>237.2</v>
      </c>
    </row>
    <row r="69" spans="1:8" ht="30" x14ac:dyDescent="0.25">
      <c r="A69" s="39" t="s">
        <v>106</v>
      </c>
      <c r="B69" s="42">
        <v>86916</v>
      </c>
      <c r="C69" s="67" t="s">
        <v>227</v>
      </c>
      <c r="D69" s="40" t="s">
        <v>14</v>
      </c>
      <c r="E69" s="105">
        <v>3</v>
      </c>
      <c r="F69" s="41">
        <v>29.71</v>
      </c>
      <c r="G69" s="41">
        <f t="shared" si="0"/>
        <v>35.92</v>
      </c>
      <c r="H69" s="95">
        <f t="shared" si="14"/>
        <v>107.76</v>
      </c>
    </row>
    <row r="70" spans="1:8" ht="60" x14ac:dyDescent="0.25">
      <c r="A70" s="39" t="s">
        <v>107</v>
      </c>
      <c r="B70" s="42">
        <v>93441</v>
      </c>
      <c r="C70" s="69" t="s">
        <v>226</v>
      </c>
      <c r="D70" s="40" t="s">
        <v>14</v>
      </c>
      <c r="E70" s="105">
        <v>1</v>
      </c>
      <c r="F70" s="41">
        <v>750</v>
      </c>
      <c r="G70" s="41">
        <f t="shared" ref="G70:G114" si="15">ROUND(F70*H$5+F70,2)</f>
        <v>906.75</v>
      </c>
      <c r="H70" s="95">
        <f t="shared" si="14"/>
        <v>906.75</v>
      </c>
    </row>
    <row r="71" spans="1:8" x14ac:dyDescent="0.25">
      <c r="A71" s="39" t="s">
        <v>108</v>
      </c>
      <c r="B71" s="42">
        <v>85005</v>
      </c>
      <c r="C71" s="69" t="s">
        <v>133</v>
      </c>
      <c r="D71" s="40" t="s">
        <v>1</v>
      </c>
      <c r="E71" s="105">
        <f>0.5*0.6*2</f>
        <v>0.6</v>
      </c>
      <c r="F71" s="41">
        <v>275.77</v>
      </c>
      <c r="G71" s="41">
        <f t="shared" si="15"/>
        <v>333.41</v>
      </c>
      <c r="H71" s="95">
        <f t="shared" si="14"/>
        <v>200.05</v>
      </c>
    </row>
    <row r="72" spans="1:8" ht="45" customHeight="1" x14ac:dyDescent="0.25">
      <c r="A72" s="39" t="s">
        <v>109</v>
      </c>
      <c r="B72" s="42" t="s">
        <v>228</v>
      </c>
      <c r="C72" s="69" t="s">
        <v>277</v>
      </c>
      <c r="D72" s="40" t="s">
        <v>14</v>
      </c>
      <c r="E72" s="105">
        <v>1</v>
      </c>
      <c r="F72" s="41">
        <v>102.2</v>
      </c>
      <c r="G72" s="41">
        <f t="shared" si="15"/>
        <v>123.56</v>
      </c>
      <c r="H72" s="95">
        <f t="shared" si="14"/>
        <v>123.56</v>
      </c>
    </row>
    <row r="73" spans="1:8" x14ac:dyDescent="0.25">
      <c r="A73" s="39" t="s">
        <v>110</v>
      </c>
      <c r="B73" s="42">
        <v>88503</v>
      </c>
      <c r="C73" s="67" t="s">
        <v>71</v>
      </c>
      <c r="D73" s="40" t="s">
        <v>14</v>
      </c>
      <c r="E73" s="105">
        <v>1</v>
      </c>
      <c r="F73" s="41">
        <v>622</v>
      </c>
      <c r="G73" s="41">
        <f t="shared" si="15"/>
        <v>752</v>
      </c>
      <c r="H73" s="95">
        <f t="shared" si="14"/>
        <v>752</v>
      </c>
    </row>
    <row r="74" spans="1:8" ht="30" x14ac:dyDescent="0.25">
      <c r="A74" s="39" t="s">
        <v>111</v>
      </c>
      <c r="B74" s="42">
        <v>94795</v>
      </c>
      <c r="C74" s="67" t="s">
        <v>158</v>
      </c>
      <c r="D74" s="40" t="s">
        <v>14</v>
      </c>
      <c r="E74" s="105">
        <v>1</v>
      </c>
      <c r="F74" s="41">
        <v>16.350000000000001</v>
      </c>
      <c r="G74" s="41">
        <f t="shared" si="15"/>
        <v>19.77</v>
      </c>
      <c r="H74" s="95">
        <f t="shared" si="14"/>
        <v>19.77</v>
      </c>
    </row>
    <row r="75" spans="1:8" ht="30" x14ac:dyDescent="0.25">
      <c r="A75" s="39" t="s">
        <v>112</v>
      </c>
      <c r="B75" s="42" t="s">
        <v>165</v>
      </c>
      <c r="C75" s="67" t="s">
        <v>42</v>
      </c>
      <c r="D75" s="40" t="s">
        <v>14</v>
      </c>
      <c r="E75" s="105">
        <v>3</v>
      </c>
      <c r="F75" s="41">
        <v>114.87</v>
      </c>
      <c r="G75" s="41">
        <f t="shared" si="15"/>
        <v>138.88</v>
      </c>
      <c r="H75" s="95">
        <f t="shared" si="14"/>
        <v>416.64</v>
      </c>
    </row>
    <row r="76" spans="1:8" ht="45" x14ac:dyDescent="0.25">
      <c r="A76" s="39" t="s">
        <v>113</v>
      </c>
      <c r="B76" s="42">
        <v>98107</v>
      </c>
      <c r="C76" s="67" t="s">
        <v>215</v>
      </c>
      <c r="D76" s="40" t="s">
        <v>14</v>
      </c>
      <c r="E76" s="105">
        <v>1</v>
      </c>
      <c r="F76" s="41">
        <v>200</v>
      </c>
      <c r="G76" s="41">
        <f t="shared" ref="G76:G77" si="16">ROUND(F76*H$5+F76,2)</f>
        <v>241.8</v>
      </c>
      <c r="H76" s="95">
        <f t="shared" ref="H76:H77" si="17">ROUND(G76*E76,2)</f>
        <v>241.8</v>
      </c>
    </row>
    <row r="77" spans="1:8" ht="33" customHeight="1" x14ac:dyDescent="0.25">
      <c r="A77" s="39" t="s">
        <v>114</v>
      </c>
      <c r="B77" s="42">
        <v>89714</v>
      </c>
      <c r="C77" s="67" t="s">
        <v>216</v>
      </c>
      <c r="D77" s="40" t="s">
        <v>14</v>
      </c>
      <c r="E77" s="105">
        <v>8</v>
      </c>
      <c r="F77" s="41">
        <v>39.049999999999997</v>
      </c>
      <c r="G77" s="41">
        <f t="shared" si="16"/>
        <v>47.21</v>
      </c>
      <c r="H77" s="95">
        <f t="shared" si="17"/>
        <v>377.68</v>
      </c>
    </row>
    <row r="78" spans="1:8" ht="45" x14ac:dyDescent="0.25">
      <c r="A78" s="39" t="s">
        <v>115</v>
      </c>
      <c r="B78" s="42" t="s">
        <v>283</v>
      </c>
      <c r="C78" s="67" t="s">
        <v>282</v>
      </c>
      <c r="D78" s="40" t="s">
        <v>14</v>
      </c>
      <c r="E78" s="105">
        <v>2</v>
      </c>
      <c r="F78" s="41">
        <v>169</v>
      </c>
      <c r="G78" s="41">
        <f t="shared" ref="G78" si="18">ROUND(F78*H$5+F78,2)</f>
        <v>204.32</v>
      </c>
      <c r="H78" s="95">
        <f t="shared" ref="H78" si="19">ROUND(G78*E78,2)</f>
        <v>408.64</v>
      </c>
    </row>
    <row r="79" spans="1:8" ht="46.15" customHeight="1" x14ac:dyDescent="0.25">
      <c r="A79" s="39" t="s">
        <v>116</v>
      </c>
      <c r="B79" s="42">
        <v>98052</v>
      </c>
      <c r="C79" s="67" t="s">
        <v>276</v>
      </c>
      <c r="D79" s="40" t="s">
        <v>14</v>
      </c>
      <c r="E79" s="105">
        <v>1</v>
      </c>
      <c r="F79" s="41">
        <v>890</v>
      </c>
      <c r="G79" s="41">
        <f t="shared" ref="G79" si="20">ROUND(F79*H$5+F79,2)</f>
        <v>1076.01</v>
      </c>
      <c r="H79" s="95">
        <f t="shared" ref="H79" si="21">ROUND(G79*E79,2)</f>
        <v>1076.01</v>
      </c>
    </row>
    <row r="80" spans="1:8" ht="15" customHeight="1" x14ac:dyDescent="0.25">
      <c r="A80" s="48"/>
      <c r="B80" s="52"/>
      <c r="C80" s="68"/>
      <c r="D80" s="48"/>
      <c r="E80" s="106" t="s">
        <v>2</v>
      </c>
      <c r="F80" s="48"/>
      <c r="G80" s="41"/>
      <c r="H80" s="96">
        <f>SUM(H58:H79)</f>
        <v>7724.6800000000021</v>
      </c>
    </row>
    <row r="81" spans="1:8" s="62" customFormat="1" ht="15" customHeight="1" x14ac:dyDescent="0.25">
      <c r="A81" s="55">
        <v>9</v>
      </c>
      <c r="B81" s="60"/>
      <c r="C81" s="66" t="s">
        <v>17</v>
      </c>
      <c r="D81" s="61"/>
      <c r="E81" s="104"/>
      <c r="F81" s="58"/>
      <c r="G81" s="59"/>
      <c r="H81" s="94"/>
    </row>
    <row r="82" spans="1:8" ht="30" customHeight="1" x14ac:dyDescent="0.25">
      <c r="A82" s="39" t="s">
        <v>20</v>
      </c>
      <c r="B82" s="42">
        <v>92980</v>
      </c>
      <c r="C82" s="67" t="s">
        <v>251</v>
      </c>
      <c r="D82" s="40" t="s">
        <v>6</v>
      </c>
      <c r="E82" s="105">
        <f>'memória de cálculo'!I69</f>
        <v>48</v>
      </c>
      <c r="F82" s="41">
        <v>5</v>
      </c>
      <c r="G82" s="41">
        <f t="shared" si="15"/>
        <v>6.05</v>
      </c>
      <c r="H82" s="95">
        <f t="shared" ref="H82:H93" si="22">ROUND(G82*E82,2)</f>
        <v>290.39999999999998</v>
      </c>
    </row>
    <row r="83" spans="1:8" ht="30" customHeight="1" x14ac:dyDescent="0.25">
      <c r="A83" s="39" t="s">
        <v>21</v>
      </c>
      <c r="B83" s="42" t="s">
        <v>128</v>
      </c>
      <c r="C83" s="67" t="s">
        <v>242</v>
      </c>
      <c r="D83" s="40" t="s">
        <v>16</v>
      </c>
      <c r="E83" s="105">
        <f>'memória de cálculo'!I70</f>
        <v>31</v>
      </c>
      <c r="F83" s="41">
        <v>155.63999999999999</v>
      </c>
      <c r="G83" s="41">
        <f t="shared" si="15"/>
        <v>188.17</v>
      </c>
      <c r="H83" s="95">
        <f t="shared" si="22"/>
        <v>5833.27</v>
      </c>
    </row>
    <row r="84" spans="1:8" ht="30" customHeight="1" x14ac:dyDescent="0.25">
      <c r="A84" s="39" t="s">
        <v>36</v>
      </c>
      <c r="B84" s="42" t="s">
        <v>127</v>
      </c>
      <c r="C84" s="67" t="s">
        <v>153</v>
      </c>
      <c r="D84" s="40" t="s">
        <v>16</v>
      </c>
      <c r="E84" s="105">
        <f>'memória de cálculo'!I71</f>
        <v>19</v>
      </c>
      <c r="F84" s="41">
        <v>149.32</v>
      </c>
      <c r="G84" s="41">
        <f t="shared" si="15"/>
        <v>180.53</v>
      </c>
      <c r="H84" s="95">
        <f t="shared" si="22"/>
        <v>3430.07</v>
      </c>
    </row>
    <row r="85" spans="1:8" ht="30" customHeight="1" x14ac:dyDescent="0.25">
      <c r="A85" s="39" t="s">
        <v>117</v>
      </c>
      <c r="B85" s="42" t="s">
        <v>129</v>
      </c>
      <c r="C85" s="67" t="s">
        <v>152</v>
      </c>
      <c r="D85" s="40" t="s">
        <v>16</v>
      </c>
      <c r="E85" s="105">
        <f>'memória de cálculo'!I72</f>
        <v>8</v>
      </c>
      <c r="F85" s="41">
        <v>173.09</v>
      </c>
      <c r="G85" s="41">
        <f t="shared" si="15"/>
        <v>209.27</v>
      </c>
      <c r="H85" s="95">
        <f t="shared" si="22"/>
        <v>1674.16</v>
      </c>
    </row>
    <row r="86" spans="1:8" ht="30" customHeight="1" x14ac:dyDescent="0.25">
      <c r="A86" s="39" t="s">
        <v>118</v>
      </c>
      <c r="B86" s="42" t="s">
        <v>41</v>
      </c>
      <c r="C86" s="67" t="s">
        <v>30</v>
      </c>
      <c r="D86" s="40" t="s">
        <v>16</v>
      </c>
      <c r="E86" s="105">
        <f>'memória de cálculo'!I73</f>
        <v>2</v>
      </c>
      <c r="F86" s="41">
        <v>123.66</v>
      </c>
      <c r="G86" s="41">
        <f t="shared" si="15"/>
        <v>149.5</v>
      </c>
      <c r="H86" s="95">
        <f t="shared" si="22"/>
        <v>299</v>
      </c>
    </row>
    <row r="87" spans="1:8" ht="45" x14ac:dyDescent="0.25">
      <c r="A87" s="39" t="s">
        <v>119</v>
      </c>
      <c r="B87" s="42" t="s">
        <v>252</v>
      </c>
      <c r="C87" s="69" t="s">
        <v>330</v>
      </c>
      <c r="D87" s="40" t="s">
        <v>14</v>
      </c>
      <c r="E87" s="105">
        <f>'memória de cálculo'!I74</f>
        <v>1</v>
      </c>
      <c r="F87" s="41">
        <v>54</v>
      </c>
      <c r="G87" s="41">
        <f t="shared" si="15"/>
        <v>65.290000000000006</v>
      </c>
      <c r="H87" s="95">
        <f t="shared" si="22"/>
        <v>65.290000000000006</v>
      </c>
    </row>
    <row r="88" spans="1:8" x14ac:dyDescent="0.25">
      <c r="A88" s="39" t="s">
        <v>120</v>
      </c>
      <c r="B88" s="42">
        <v>83443</v>
      </c>
      <c r="C88" s="67" t="s">
        <v>72</v>
      </c>
      <c r="D88" s="40" t="s">
        <v>14</v>
      </c>
      <c r="E88" s="105">
        <f>'memória de cálculo'!I75</f>
        <v>3</v>
      </c>
      <c r="F88" s="41">
        <v>29.38</v>
      </c>
      <c r="G88" s="41">
        <f t="shared" si="15"/>
        <v>35.520000000000003</v>
      </c>
      <c r="H88" s="95">
        <f t="shared" si="22"/>
        <v>106.56</v>
      </c>
    </row>
    <row r="89" spans="1:8" ht="30" customHeight="1" x14ac:dyDescent="0.25">
      <c r="A89" s="39" t="s">
        <v>121</v>
      </c>
      <c r="B89" s="42" t="s">
        <v>31</v>
      </c>
      <c r="C89" s="67" t="s">
        <v>32</v>
      </c>
      <c r="D89" s="40" t="s">
        <v>14</v>
      </c>
      <c r="E89" s="105">
        <f>'memória de cálculo'!I76</f>
        <v>3</v>
      </c>
      <c r="F89" s="41">
        <v>12.8</v>
      </c>
      <c r="G89" s="41">
        <f t="shared" si="15"/>
        <v>15.48</v>
      </c>
      <c r="H89" s="95">
        <f t="shared" si="22"/>
        <v>46.44</v>
      </c>
    </row>
    <row r="90" spans="1:8" ht="30" customHeight="1" x14ac:dyDescent="0.25">
      <c r="A90" s="39" t="s">
        <v>122</v>
      </c>
      <c r="B90" s="42" t="s">
        <v>74</v>
      </c>
      <c r="C90" s="67" t="s">
        <v>73</v>
      </c>
      <c r="D90" s="40" t="s">
        <v>14</v>
      </c>
      <c r="E90" s="105">
        <f>'memória de cálculo'!I77</f>
        <v>1</v>
      </c>
      <c r="F90" s="41">
        <v>65.599999999999994</v>
      </c>
      <c r="G90" s="41">
        <f t="shared" si="15"/>
        <v>79.31</v>
      </c>
      <c r="H90" s="95">
        <f t="shared" si="22"/>
        <v>79.31</v>
      </c>
    </row>
    <row r="91" spans="1:8" ht="30" customHeight="1" x14ac:dyDescent="0.25">
      <c r="A91" s="39" t="s">
        <v>123</v>
      </c>
      <c r="B91" s="42">
        <v>97591</v>
      </c>
      <c r="C91" s="69" t="s">
        <v>253</v>
      </c>
      <c r="D91" s="40" t="s">
        <v>14</v>
      </c>
      <c r="E91" s="105">
        <f>'memória de cálculo'!I78</f>
        <v>25</v>
      </c>
      <c r="F91" s="41">
        <v>58.7</v>
      </c>
      <c r="G91" s="41">
        <f t="shared" si="15"/>
        <v>70.97</v>
      </c>
      <c r="H91" s="95">
        <f t="shared" si="22"/>
        <v>1774.25</v>
      </c>
    </row>
    <row r="92" spans="1:8" ht="17.25" customHeight="1" x14ac:dyDescent="0.25">
      <c r="A92" s="39" t="s">
        <v>124</v>
      </c>
      <c r="B92" s="42" t="s">
        <v>254</v>
      </c>
      <c r="C92" s="69" t="s">
        <v>255</v>
      </c>
      <c r="D92" s="40" t="s">
        <v>14</v>
      </c>
      <c r="E92" s="105">
        <f>'memória de cálculo'!I79</f>
        <v>1</v>
      </c>
      <c r="F92" s="41">
        <v>992.33</v>
      </c>
      <c r="G92" s="41">
        <f t="shared" ref="G92" si="23">ROUND(F92*H$5+F92,2)</f>
        <v>1199.73</v>
      </c>
      <c r="H92" s="95">
        <f t="shared" ref="H92" si="24">ROUND(G92*E92,2)</f>
        <v>1199.73</v>
      </c>
    </row>
    <row r="93" spans="1:8" ht="30" customHeight="1" x14ac:dyDescent="0.25">
      <c r="A93" s="39" t="s">
        <v>173</v>
      </c>
      <c r="B93" s="42">
        <v>97608</v>
      </c>
      <c r="C93" s="67" t="s">
        <v>229</v>
      </c>
      <c r="D93" s="40" t="s">
        <v>14</v>
      </c>
      <c r="E93" s="105">
        <f>'memória de cálculo'!I80</f>
        <v>3</v>
      </c>
      <c r="F93" s="41">
        <v>66.14</v>
      </c>
      <c r="G93" s="41">
        <f t="shared" si="15"/>
        <v>79.959999999999994</v>
      </c>
      <c r="H93" s="95">
        <f t="shared" si="22"/>
        <v>239.88</v>
      </c>
    </row>
    <row r="94" spans="1:8" ht="15" customHeight="1" x14ac:dyDescent="0.25">
      <c r="A94" s="48"/>
      <c r="B94" s="52"/>
      <c r="C94" s="68"/>
      <c r="D94" s="48"/>
      <c r="E94" s="107" t="str">
        <f>E80</f>
        <v>TOTAL</v>
      </c>
      <c r="F94" s="48"/>
      <c r="G94" s="41"/>
      <c r="H94" s="96">
        <f>SUM(H82:H93)</f>
        <v>15038.359999999999</v>
      </c>
    </row>
    <row r="95" spans="1:8" s="62" customFormat="1" ht="15" customHeight="1" x14ac:dyDescent="0.25">
      <c r="A95" s="55">
        <v>10</v>
      </c>
      <c r="B95" s="60"/>
      <c r="C95" s="66" t="s">
        <v>19</v>
      </c>
      <c r="D95" s="61"/>
      <c r="E95" s="104"/>
      <c r="F95" s="58"/>
      <c r="G95" s="59"/>
      <c r="H95" s="94"/>
    </row>
    <row r="96" spans="1:8" ht="42.6" customHeight="1" x14ac:dyDescent="0.25">
      <c r="A96" s="39" t="s">
        <v>22</v>
      </c>
      <c r="B96" s="42">
        <v>87879</v>
      </c>
      <c r="C96" s="67" t="s">
        <v>156</v>
      </c>
      <c r="D96" s="40" t="s">
        <v>1</v>
      </c>
      <c r="E96" s="105">
        <f>'memória de cálculo'!I82</f>
        <v>593.26</v>
      </c>
      <c r="F96" s="41">
        <v>2.8</v>
      </c>
      <c r="G96" s="41">
        <f t="shared" si="15"/>
        <v>3.39</v>
      </c>
      <c r="H96" s="95">
        <f>ROUND(G96*E96,2)</f>
        <v>2011.15</v>
      </c>
    </row>
    <row r="97" spans="1:8" ht="57.6" customHeight="1" x14ac:dyDescent="0.25">
      <c r="A97" s="39" t="s">
        <v>23</v>
      </c>
      <c r="B97" s="42">
        <v>87529</v>
      </c>
      <c r="C97" s="67" t="s">
        <v>157</v>
      </c>
      <c r="D97" s="40" t="s">
        <v>1</v>
      </c>
      <c r="E97" s="105">
        <f>'memória de cálculo'!I83</f>
        <v>593.26</v>
      </c>
      <c r="F97" s="41">
        <v>24.8</v>
      </c>
      <c r="G97" s="41">
        <f t="shared" si="15"/>
        <v>29.98</v>
      </c>
      <c r="H97" s="95">
        <f>ROUND(G97*E97,2)</f>
        <v>17785.93</v>
      </c>
    </row>
    <row r="98" spans="1:8" ht="43.9" customHeight="1" x14ac:dyDescent="0.25">
      <c r="A98" s="39" t="s">
        <v>37</v>
      </c>
      <c r="B98" s="42">
        <v>87273</v>
      </c>
      <c r="C98" s="67" t="s">
        <v>218</v>
      </c>
      <c r="D98" s="40" t="s">
        <v>1</v>
      </c>
      <c r="E98" s="105">
        <f>'memória de cálculo'!I84</f>
        <v>28.371000000000006</v>
      </c>
      <c r="F98" s="41">
        <v>38.15</v>
      </c>
      <c r="G98" s="41">
        <f t="shared" si="15"/>
        <v>46.12</v>
      </c>
      <c r="H98" s="95">
        <f t="shared" ref="H98" si="25">ROUND(G98*E98,2)</f>
        <v>1308.47</v>
      </c>
    </row>
    <row r="99" spans="1:8" ht="15" customHeight="1" x14ac:dyDescent="0.25">
      <c r="A99" s="48"/>
      <c r="B99" s="52"/>
      <c r="C99" s="68"/>
      <c r="D99" s="48"/>
      <c r="E99" s="107" t="str">
        <f>E94</f>
        <v>TOTAL</v>
      </c>
      <c r="F99" s="48"/>
      <c r="G99" s="41"/>
      <c r="H99" s="96">
        <f>SUM(H96:H98)</f>
        <v>21105.550000000003</v>
      </c>
    </row>
    <row r="100" spans="1:8" s="62" customFormat="1" ht="15" customHeight="1" x14ac:dyDescent="0.25">
      <c r="A100" s="55">
        <v>11</v>
      </c>
      <c r="B100" s="60"/>
      <c r="C100" s="66" t="s">
        <v>5</v>
      </c>
      <c r="D100" s="61"/>
      <c r="E100" s="104"/>
      <c r="F100" s="58"/>
      <c r="G100" s="59"/>
      <c r="H100" s="94"/>
    </row>
    <row r="101" spans="1:8" ht="31.15" customHeight="1" x14ac:dyDescent="0.25">
      <c r="A101" s="39" t="s">
        <v>33</v>
      </c>
      <c r="B101" s="42" t="s">
        <v>285</v>
      </c>
      <c r="C101" s="113" t="s">
        <v>284</v>
      </c>
      <c r="D101" s="40" t="s">
        <v>1</v>
      </c>
      <c r="E101" s="105">
        <f>'memória de cálculo'!I86</f>
        <v>83.26</v>
      </c>
      <c r="F101" s="41">
        <v>22.5</v>
      </c>
      <c r="G101" s="41">
        <f t="shared" ref="G101" si="26">ROUND(F101*H$5+F101,2)</f>
        <v>27.2</v>
      </c>
      <c r="H101" s="95">
        <f t="shared" ref="H101" si="27">ROUND(G101*E101,2)</f>
        <v>2264.67</v>
      </c>
    </row>
    <row r="102" spans="1:8" ht="45" customHeight="1" x14ac:dyDescent="0.25">
      <c r="A102" s="39" t="s">
        <v>60</v>
      </c>
      <c r="B102" s="42">
        <v>87250</v>
      </c>
      <c r="C102" s="69" t="s">
        <v>219</v>
      </c>
      <c r="D102" s="40" t="s">
        <v>1</v>
      </c>
      <c r="E102" s="105">
        <f>'memória de cálculo'!I87</f>
        <v>91.597000000000023</v>
      </c>
      <c r="F102" s="41">
        <v>42.5</v>
      </c>
      <c r="G102" s="41">
        <f t="shared" si="15"/>
        <v>51.38</v>
      </c>
      <c r="H102" s="95">
        <f t="shared" ref="H102:H103" si="28">ROUND(G102*E102,2)</f>
        <v>4706.25</v>
      </c>
    </row>
    <row r="103" spans="1:8" ht="15" customHeight="1" x14ac:dyDescent="0.25">
      <c r="A103" s="39" t="s">
        <v>61</v>
      </c>
      <c r="B103" s="42" t="s">
        <v>221</v>
      </c>
      <c r="C103" s="67" t="s">
        <v>220</v>
      </c>
      <c r="D103" s="40" t="s">
        <v>1</v>
      </c>
      <c r="E103" s="105">
        <f>'memória de cálculo'!I88</f>
        <v>33</v>
      </c>
      <c r="F103" s="41">
        <v>39.14</v>
      </c>
      <c r="G103" s="41">
        <f t="shared" si="15"/>
        <v>47.32</v>
      </c>
      <c r="H103" s="95">
        <f t="shared" si="28"/>
        <v>1561.56</v>
      </c>
    </row>
    <row r="104" spans="1:8" ht="45" customHeight="1" x14ac:dyDescent="0.25">
      <c r="A104" s="39" t="s">
        <v>144</v>
      </c>
      <c r="B104" s="42" t="s">
        <v>256</v>
      </c>
      <c r="C104" s="67" t="s">
        <v>257</v>
      </c>
      <c r="D104" s="40" t="s">
        <v>1</v>
      </c>
      <c r="E104" s="105">
        <f>'memória de cálculo'!I89</f>
        <v>2.88</v>
      </c>
      <c r="F104" s="41">
        <v>47.7</v>
      </c>
      <c r="G104" s="41">
        <f t="shared" ref="G104" si="29">ROUND(F104*H$5+F104,2)</f>
        <v>57.67</v>
      </c>
      <c r="H104" s="95">
        <f t="shared" ref="H104" si="30">ROUND(G104*E104,2)</f>
        <v>166.09</v>
      </c>
    </row>
    <row r="105" spans="1:8" ht="15" customHeight="1" x14ac:dyDescent="0.25">
      <c r="A105" s="48"/>
      <c r="B105" s="52"/>
      <c r="C105" s="68"/>
      <c r="D105" s="48"/>
      <c r="E105" s="107" t="str">
        <f>E99</f>
        <v>TOTAL</v>
      </c>
      <c r="F105" s="48"/>
      <c r="G105" s="41"/>
      <c r="H105" s="96">
        <f>SUM(H101:H104)</f>
        <v>8698.57</v>
      </c>
    </row>
    <row r="106" spans="1:8" s="62" customFormat="1" ht="15" customHeight="1" x14ac:dyDescent="0.25">
      <c r="A106" s="55">
        <v>12</v>
      </c>
      <c r="B106" s="60"/>
      <c r="C106" s="66" t="s">
        <v>7</v>
      </c>
      <c r="D106" s="61"/>
      <c r="E106" s="104"/>
      <c r="F106" s="58"/>
      <c r="G106" s="59"/>
      <c r="H106" s="94"/>
    </row>
    <row r="107" spans="1:8" ht="18" customHeight="1" x14ac:dyDescent="0.25">
      <c r="A107" s="39" t="s">
        <v>38</v>
      </c>
      <c r="B107" s="42">
        <v>88485</v>
      </c>
      <c r="C107" s="67" t="s">
        <v>233</v>
      </c>
      <c r="D107" s="40" t="s">
        <v>1</v>
      </c>
      <c r="E107" s="105">
        <f>'memória de cálculo'!I91</f>
        <v>564.89</v>
      </c>
      <c r="F107" s="41">
        <v>1.91</v>
      </c>
      <c r="G107" s="41">
        <f t="shared" si="15"/>
        <v>2.31</v>
      </c>
      <c r="H107" s="95">
        <f>ROUND(G107*E107,2)</f>
        <v>1304.9000000000001</v>
      </c>
    </row>
    <row r="108" spans="1:8" ht="28.9" customHeight="1" x14ac:dyDescent="0.25">
      <c r="A108" s="39" t="s">
        <v>125</v>
      </c>
      <c r="B108" s="42">
        <v>88489</v>
      </c>
      <c r="C108" s="67" t="s">
        <v>232</v>
      </c>
      <c r="D108" s="40" t="s">
        <v>1</v>
      </c>
      <c r="E108" s="105">
        <f>E107</f>
        <v>564.89</v>
      </c>
      <c r="F108" s="41">
        <v>8</v>
      </c>
      <c r="G108" s="41">
        <f t="shared" si="15"/>
        <v>9.67</v>
      </c>
      <c r="H108" s="95">
        <f t="shared" ref="H108:H109" si="31">ROUND(G108*E108,2)</f>
        <v>5462.49</v>
      </c>
    </row>
    <row r="109" spans="1:8" ht="15" customHeight="1" x14ac:dyDescent="0.25">
      <c r="A109" s="39" t="s">
        <v>126</v>
      </c>
      <c r="B109" s="42" t="s">
        <v>172</v>
      </c>
      <c r="C109" s="67" t="s">
        <v>339</v>
      </c>
      <c r="D109" s="40" t="s">
        <v>1</v>
      </c>
      <c r="E109" s="105">
        <f>+E55*2+0.6*0.6+E52*0.8*2.1+E51*0.7*2.1+E50*0.8*2.1</f>
        <v>41.339999999999996</v>
      </c>
      <c r="F109" s="41">
        <v>21</v>
      </c>
      <c r="G109" s="41">
        <f t="shared" si="15"/>
        <v>25.39</v>
      </c>
      <c r="H109" s="95">
        <f t="shared" si="31"/>
        <v>1049.6199999999999</v>
      </c>
    </row>
    <row r="110" spans="1:8" ht="15" customHeight="1" x14ac:dyDescent="0.25">
      <c r="A110" s="48"/>
      <c r="B110" s="52"/>
      <c r="C110" s="68"/>
      <c r="D110" s="48"/>
      <c r="E110" s="107" t="str">
        <f>E105</f>
        <v>TOTAL</v>
      </c>
      <c r="F110" s="48"/>
      <c r="G110" s="41"/>
      <c r="H110" s="96">
        <f>SUM(H107:H109)</f>
        <v>7817.0099999999993</v>
      </c>
    </row>
    <row r="111" spans="1:8" s="62" customFormat="1" ht="15" customHeight="1" x14ac:dyDescent="0.25">
      <c r="A111" s="55">
        <v>13</v>
      </c>
      <c r="B111" s="60"/>
      <c r="C111" s="66" t="s">
        <v>160</v>
      </c>
      <c r="D111" s="61"/>
      <c r="E111" s="110"/>
      <c r="F111" s="58"/>
      <c r="G111" s="59"/>
      <c r="H111" s="99"/>
    </row>
    <row r="112" spans="1:8" ht="15" customHeight="1" x14ac:dyDescent="0.25">
      <c r="A112" s="39" t="s">
        <v>39</v>
      </c>
      <c r="B112" s="42">
        <v>83635</v>
      </c>
      <c r="C112" s="67" t="s">
        <v>171</v>
      </c>
      <c r="D112" s="40" t="str">
        <f>D113</f>
        <v>UN</v>
      </c>
      <c r="E112" s="105">
        <f>'memória de cálculo'!I95</f>
        <v>1</v>
      </c>
      <c r="F112" s="41">
        <v>140</v>
      </c>
      <c r="G112" s="41">
        <f t="shared" si="15"/>
        <v>169.26</v>
      </c>
      <c r="H112" s="97">
        <f>ROUND(G112*E112,2)</f>
        <v>169.26</v>
      </c>
    </row>
    <row r="113" spans="1:8" ht="15" customHeight="1" x14ac:dyDescent="0.25">
      <c r="A113" s="39" t="s">
        <v>137</v>
      </c>
      <c r="B113" s="42" t="s">
        <v>161</v>
      </c>
      <c r="C113" s="67" t="s">
        <v>162</v>
      </c>
      <c r="D113" s="40" t="s">
        <v>14</v>
      </c>
      <c r="E113" s="105">
        <f>'memória de cálculo'!I96</f>
        <v>1</v>
      </c>
      <c r="F113" s="41">
        <v>63.33</v>
      </c>
      <c r="G113" s="41">
        <f t="shared" si="15"/>
        <v>76.569999999999993</v>
      </c>
      <c r="H113" s="97">
        <f t="shared" ref="H113:H114" si="32">ROUND(G113*E113,2)</f>
        <v>76.569999999999993</v>
      </c>
    </row>
    <row r="114" spans="1:8" ht="15" customHeight="1" x14ac:dyDescent="0.25">
      <c r="A114" s="39" t="s">
        <v>140</v>
      </c>
      <c r="B114" s="42" t="s">
        <v>163</v>
      </c>
      <c r="C114" s="67" t="s">
        <v>164</v>
      </c>
      <c r="D114" s="40" t="s">
        <v>14</v>
      </c>
      <c r="E114" s="105">
        <f>'memória de cálculo'!I97</f>
        <v>6</v>
      </c>
      <c r="F114" s="41">
        <v>15.5</v>
      </c>
      <c r="G114" s="41">
        <f t="shared" si="15"/>
        <v>18.739999999999998</v>
      </c>
      <c r="H114" s="97">
        <f t="shared" si="32"/>
        <v>112.44</v>
      </c>
    </row>
    <row r="115" spans="1:8" ht="15" customHeight="1" x14ac:dyDescent="0.25">
      <c r="A115" s="39"/>
      <c r="B115" s="42"/>
      <c r="C115" s="67"/>
      <c r="D115" s="40"/>
      <c r="E115" s="107" t="s">
        <v>2</v>
      </c>
      <c r="F115" s="48"/>
      <c r="G115" s="41"/>
      <c r="H115" s="96">
        <f>SUM(H112:H114)</f>
        <v>358.27</v>
      </c>
    </row>
    <row r="116" spans="1:8" s="62" customFormat="1" ht="15" customHeight="1" x14ac:dyDescent="0.25">
      <c r="A116" s="63">
        <v>14</v>
      </c>
      <c r="B116" s="60"/>
      <c r="C116" s="66" t="s">
        <v>148</v>
      </c>
      <c r="D116" s="61"/>
      <c r="E116" s="104"/>
      <c r="F116" s="58"/>
      <c r="G116" s="59"/>
      <c r="H116" s="94"/>
    </row>
    <row r="117" spans="1:8" s="62" customFormat="1" ht="30" customHeight="1" x14ac:dyDescent="0.25">
      <c r="A117" s="39" t="s">
        <v>192</v>
      </c>
      <c r="B117" s="76" t="s">
        <v>274</v>
      </c>
      <c r="C117" s="88" t="s">
        <v>340</v>
      </c>
      <c r="D117" s="89" t="s">
        <v>6</v>
      </c>
      <c r="E117" s="103">
        <f>'memória de cálculo'!I99</f>
        <v>5.9</v>
      </c>
      <c r="F117" s="103">
        <v>365.2</v>
      </c>
      <c r="G117" s="49">
        <f t="shared" ref="G117" si="33">ROUND(F117*H$5+F117,2)</f>
        <v>441.53</v>
      </c>
      <c r="H117" s="97">
        <f t="shared" ref="H117" si="34">ROUND(G117*E117,2)</f>
        <v>2605.0300000000002</v>
      </c>
    </row>
    <row r="118" spans="1:8" s="62" customFormat="1" ht="15" customHeight="1" x14ac:dyDescent="0.25">
      <c r="A118" s="39" t="s">
        <v>269</v>
      </c>
      <c r="B118" s="76">
        <v>85180</v>
      </c>
      <c r="C118" s="88" t="s">
        <v>275</v>
      </c>
      <c r="D118" s="89" t="s">
        <v>1</v>
      </c>
      <c r="E118" s="103">
        <f>'memória de cálculo'!I100</f>
        <v>6</v>
      </c>
      <c r="F118" s="90">
        <v>11.65</v>
      </c>
      <c r="G118" s="49">
        <f t="shared" ref="G118" si="35">ROUND(F118*H$5+F118,2)</f>
        <v>14.08</v>
      </c>
      <c r="H118" s="97">
        <f t="shared" ref="H118" si="36">ROUND(G118*E118,2)</f>
        <v>84.48</v>
      </c>
    </row>
    <row r="119" spans="1:8" s="62" customFormat="1" ht="15" customHeight="1" x14ac:dyDescent="0.25">
      <c r="A119" s="39" t="s">
        <v>270</v>
      </c>
      <c r="B119" s="76" t="s">
        <v>138</v>
      </c>
      <c r="C119" s="88" t="s">
        <v>139</v>
      </c>
      <c r="D119" s="102" t="str">
        <f>D114</f>
        <v>UN</v>
      </c>
      <c r="E119" s="103">
        <f>'memória de cálculo'!I101</f>
        <v>6</v>
      </c>
      <c r="F119" s="90">
        <v>22.5</v>
      </c>
      <c r="G119" s="49">
        <f t="shared" ref="G119" si="37">ROUND(F119*H$5+F119,2)</f>
        <v>27.2</v>
      </c>
      <c r="H119" s="97">
        <f t="shared" ref="H119" si="38">ROUND(G119*E119,2)</f>
        <v>163.19999999999999</v>
      </c>
    </row>
    <row r="120" spans="1:8" s="62" customFormat="1" ht="30" customHeight="1" x14ac:dyDescent="0.25">
      <c r="A120" s="39" t="s">
        <v>271</v>
      </c>
      <c r="B120" s="76" t="s">
        <v>272</v>
      </c>
      <c r="C120" s="88" t="s">
        <v>273</v>
      </c>
      <c r="D120" s="102" t="str">
        <f>D119</f>
        <v>UN</v>
      </c>
      <c r="E120" s="103">
        <f>'memória de cálculo'!I102</f>
        <v>10</v>
      </c>
      <c r="F120" s="90">
        <v>9</v>
      </c>
      <c r="G120" s="49">
        <f t="shared" ref="G120" si="39">ROUND(F120*H$5+F120,2)</f>
        <v>10.88</v>
      </c>
      <c r="H120" s="97">
        <f t="shared" ref="H120" si="40">ROUND(G120*E120,2)</f>
        <v>108.8</v>
      </c>
    </row>
    <row r="121" spans="1:8" ht="15" customHeight="1" x14ac:dyDescent="0.25">
      <c r="A121" s="48"/>
      <c r="B121" s="48"/>
      <c r="C121" s="68"/>
      <c r="D121" s="48"/>
      <c r="E121" s="106" t="s">
        <v>2</v>
      </c>
      <c r="F121" s="48"/>
      <c r="G121" s="41"/>
      <c r="H121" s="96">
        <f>SUM(H116:H120)</f>
        <v>2961.51</v>
      </c>
    </row>
    <row r="122" spans="1:8" s="62" customFormat="1" ht="15" customHeight="1" x14ac:dyDescent="0.25">
      <c r="A122" s="63">
        <v>15</v>
      </c>
      <c r="B122" s="60"/>
      <c r="C122" s="66" t="s">
        <v>8</v>
      </c>
      <c r="D122" s="61"/>
      <c r="E122" s="104"/>
      <c r="F122" s="58"/>
      <c r="G122" s="59"/>
      <c r="H122" s="94"/>
    </row>
    <row r="123" spans="1:8" ht="15" customHeight="1" x14ac:dyDescent="0.25">
      <c r="A123" s="39" t="s">
        <v>193</v>
      </c>
      <c r="B123" s="42" t="s">
        <v>231</v>
      </c>
      <c r="C123" s="67" t="s">
        <v>230</v>
      </c>
      <c r="D123" s="40" t="s">
        <v>1</v>
      </c>
      <c r="E123" s="105">
        <f>'memória de cálculo'!I104</f>
        <v>91.74</v>
      </c>
      <c r="F123" s="41">
        <v>2.4300000000000002</v>
      </c>
      <c r="G123" s="41">
        <f t="shared" ref="G123" si="41">ROUND(F123*H$5+F123,2)</f>
        <v>2.94</v>
      </c>
      <c r="H123" s="95">
        <f>ROUND(G123*E123,2)+0.01</f>
        <v>269.73</v>
      </c>
    </row>
    <row r="124" spans="1:8" ht="15" customHeight="1" x14ac:dyDescent="0.25">
      <c r="A124" s="48"/>
      <c r="B124" s="48"/>
      <c r="C124" s="68"/>
      <c r="D124" s="48"/>
      <c r="E124" s="106" t="s">
        <v>2</v>
      </c>
      <c r="F124" s="48"/>
      <c r="G124" s="41"/>
      <c r="H124" s="96">
        <f>SUM(H122:H123)</f>
        <v>269.73</v>
      </c>
    </row>
    <row r="125" spans="1:8" ht="15.75" x14ac:dyDescent="0.25">
      <c r="A125" s="143" t="s">
        <v>62</v>
      </c>
      <c r="B125" s="144"/>
      <c r="C125" s="144"/>
      <c r="D125" s="144"/>
      <c r="E125" s="144"/>
      <c r="F125" s="145"/>
      <c r="G125" s="77"/>
      <c r="H125" s="100">
        <f>SUM(H7:H124)/2</f>
        <v>137742.19999999998</v>
      </c>
    </row>
    <row r="126" spans="1:8" x14ac:dyDescent="0.25">
      <c r="A126" s="79" t="s">
        <v>40</v>
      </c>
      <c r="B126" s="78"/>
      <c r="C126" s="70" t="s">
        <v>237</v>
      </c>
      <c r="D126" s="51"/>
      <c r="E126" s="111"/>
      <c r="F126" s="47"/>
    </row>
    <row r="127" spans="1:8" x14ac:dyDescent="0.25">
      <c r="A127" s="114" t="s">
        <v>286</v>
      </c>
      <c r="B127" s="114"/>
      <c r="C127" s="114"/>
      <c r="D127" s="114"/>
      <c r="E127" s="111"/>
      <c r="F127" s="47"/>
    </row>
    <row r="128" spans="1:8" ht="15" customHeight="1" x14ac:dyDescent="0.25">
      <c r="A128" s="50"/>
      <c r="B128" s="38"/>
      <c r="C128" s="117" t="s">
        <v>287</v>
      </c>
      <c r="D128" s="53"/>
      <c r="E128" s="111"/>
      <c r="F128" s="47"/>
    </row>
    <row r="129" spans="1:8" x14ac:dyDescent="0.25">
      <c r="A129" s="50"/>
      <c r="B129" s="115"/>
      <c r="C129" s="115"/>
      <c r="D129" s="53"/>
      <c r="E129" s="111"/>
      <c r="F129" s="47"/>
    </row>
    <row r="130" spans="1:8" ht="18.75" customHeight="1" x14ac:dyDescent="0.25">
      <c r="A130" s="116"/>
      <c r="B130" s="116"/>
      <c r="C130" s="116" t="s">
        <v>288</v>
      </c>
      <c r="D130" s="116"/>
      <c r="E130" s="116"/>
      <c r="F130" s="116"/>
      <c r="G130" s="116"/>
      <c r="H130" s="116"/>
    </row>
    <row r="131" spans="1:8" x14ac:dyDescent="0.25">
      <c r="A131" s="141"/>
      <c r="B131" s="141"/>
      <c r="C131" s="141"/>
      <c r="D131" s="141"/>
      <c r="E131" s="141"/>
      <c r="F131" s="141"/>
      <c r="G131" s="141"/>
      <c r="H131" s="141"/>
    </row>
  </sheetData>
  <mergeCells count="7">
    <mergeCell ref="A1:H1"/>
    <mergeCell ref="A131:H131"/>
    <mergeCell ref="A3:H3"/>
    <mergeCell ref="A125:F125"/>
    <mergeCell ref="B4:F4"/>
    <mergeCell ref="B5:F5"/>
    <mergeCell ref="A2:H2"/>
  </mergeCells>
  <phoneticPr fontId="25" type="noConversion"/>
  <printOptions horizontalCentered="1"/>
  <pageMargins left="0.47244094488188981" right="0.31496062992125984" top="0.47244094488188981" bottom="0.59055118110236227" header="0.31496062992125984" footer="0.31496062992125984"/>
  <pageSetup paperSize="9" scale="66" fitToHeight="0" orientation="portrait" r:id="rId1"/>
  <headerFooter>
    <oddFooter>Página &amp;P de &amp;N</oddFooter>
  </headerFooter>
  <rowBreaks count="1" manualBreakCount="1">
    <brk id="85" max="7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1"/>
  <sheetViews>
    <sheetView topLeftCell="A97" workbookViewId="0">
      <selection activeCell="E110" sqref="E110:I110"/>
    </sheetView>
  </sheetViews>
  <sheetFormatPr defaultRowHeight="15" x14ac:dyDescent="0.25"/>
  <cols>
    <col min="3" max="3" width="27.42578125" customWidth="1"/>
    <col min="8" max="8" width="19.140625" customWidth="1"/>
    <col min="10" max="10" width="7.42578125" customWidth="1"/>
  </cols>
  <sheetData>
    <row r="1" spans="1:10" ht="54.75" customHeight="1" x14ac:dyDescent="0.25">
      <c r="A1" s="235" t="s">
        <v>291</v>
      </c>
      <c r="B1" s="236"/>
      <c r="C1" s="236"/>
      <c r="D1" s="236"/>
      <c r="E1" s="236"/>
      <c r="F1" s="236"/>
      <c r="G1" s="236"/>
      <c r="H1" s="236"/>
      <c r="I1" s="236"/>
      <c r="J1" s="237"/>
    </row>
    <row r="2" spans="1:10" x14ac:dyDescent="0.25">
      <c r="A2" s="155" t="str">
        <f>'PLANILHA orçamentária'!C7</f>
        <v>SERVIÇOS PRELIMINARES</v>
      </c>
      <c r="B2" s="156"/>
      <c r="C2" s="156"/>
      <c r="D2" s="156"/>
      <c r="E2" s="156"/>
      <c r="F2" s="156"/>
      <c r="G2" s="156"/>
      <c r="H2" s="156"/>
      <c r="I2" s="156"/>
      <c r="J2" s="157"/>
    </row>
    <row r="3" spans="1:10" ht="87.75" customHeight="1" x14ac:dyDescent="0.25">
      <c r="A3" s="167" t="str">
        <f>'PLANILHA orçamentária'!C8</f>
        <v>FORNECIMENTO E COLOCAÇÃO DE PLACA DE OBRA EM CHAPA GALVANIZADA (2,00 X 1,00 M) - EM CHAPA GALVANIZADA 0,26 AFIXADAS COM REBITES 540 E PARAFUSOS 3/8, EM ESTRUTURA METÁLICA VIGA U 2" ENRIJECIDA COM METALON 20X20, SUPORTE EM EUCALIPTO AUTOCLAVADO PINTADAS</v>
      </c>
      <c r="B3" s="168"/>
      <c r="C3" s="169"/>
      <c r="D3" s="118" t="str">
        <f>'PLANILHA orçamentária'!D8</f>
        <v>Und</v>
      </c>
      <c r="E3" s="189" t="s">
        <v>295</v>
      </c>
      <c r="F3" s="222"/>
      <c r="G3" s="222"/>
      <c r="H3" s="223"/>
      <c r="I3" s="228">
        <v>1</v>
      </c>
      <c r="J3" s="238"/>
    </row>
    <row r="4" spans="1:10" ht="15" customHeight="1" x14ac:dyDescent="0.25">
      <c r="A4" s="167" t="str">
        <f>'[1]Planilia Atualizada'!D7</f>
        <v>LOCACAO CONVENCIONAL DE OBRA, ATRAVÉS DE GABARITO DE TABUAS CORRIDAS PONTALETADAS A CADA 1,50M, SEM REAPROVEITAMENTO</v>
      </c>
      <c r="B4" s="218"/>
      <c r="C4" s="219"/>
      <c r="D4" s="118" t="str">
        <f>'PLANILHA orçamentária'!D9</f>
        <v>M2</v>
      </c>
      <c r="E4" s="239" t="s">
        <v>303</v>
      </c>
      <c r="F4" s="240"/>
      <c r="G4" s="240"/>
      <c r="H4" s="241"/>
      <c r="I4" s="220">
        <f>10.95*11.75</f>
        <v>128.66249999999999</v>
      </c>
      <c r="J4" s="221"/>
    </row>
    <row r="5" spans="1:10" x14ac:dyDescent="0.25">
      <c r="A5" s="207" t="str">
        <f>'PLANILHA orçamentária'!C11</f>
        <v>MOVIMENTO DE TERRA</v>
      </c>
      <c r="B5" s="242"/>
      <c r="C5" s="242"/>
      <c r="D5" s="242"/>
      <c r="E5" s="242"/>
      <c r="F5" s="242"/>
      <c r="G5" s="242"/>
      <c r="H5" s="242"/>
      <c r="I5" s="242"/>
      <c r="J5" s="243"/>
    </row>
    <row r="6" spans="1:10" ht="21" customHeight="1" x14ac:dyDescent="0.25">
      <c r="A6" s="229" t="str">
        <f>'PLANILHA orçamentária'!C12</f>
        <v>ESCAVAÇÃO MANUAL DE VALAS H &lt;= 1,50 M</v>
      </c>
      <c r="B6" s="230"/>
      <c r="C6" s="230"/>
      <c r="D6" s="119" t="str">
        <f>'PLANILHA orçamentária'!D12</f>
        <v>M3</v>
      </c>
      <c r="E6" s="210" t="s">
        <v>304</v>
      </c>
      <c r="F6" s="210"/>
      <c r="G6" s="210"/>
      <c r="H6" s="210"/>
      <c r="I6" s="231">
        <f>+(0.7*0.6)*1.5*17+71*0.3*0.35</f>
        <v>18.164999999999999</v>
      </c>
      <c r="J6" s="231"/>
    </row>
    <row r="7" spans="1:10" ht="30.75" customHeight="1" x14ac:dyDescent="0.25">
      <c r="A7" s="229" t="str">
        <f>'PLANILHA orçamentária'!C13</f>
        <v>REGULARIZAÇÃO E COMPACTAÇÃO DE TERRENO MANUAL, COM SOQUETE</v>
      </c>
      <c r="B7" s="230"/>
      <c r="C7" s="230"/>
      <c r="D7" s="119" t="str">
        <f>'PLANILHA orçamentária'!D13</f>
        <v>M2</v>
      </c>
      <c r="E7" s="210" t="s">
        <v>305</v>
      </c>
      <c r="F7" s="210"/>
      <c r="G7" s="210"/>
      <c r="H7" s="210"/>
      <c r="I7" s="231">
        <f>(0.7*0.6)*17+71*0.3</f>
        <v>28.44</v>
      </c>
      <c r="J7" s="231"/>
    </row>
    <row r="8" spans="1:10" ht="24.75" customHeight="1" x14ac:dyDescent="0.25">
      <c r="A8" s="229" t="str">
        <f>'PLANILHA orçamentária'!C14</f>
        <v>REATERRO MANUAL DE VALA</v>
      </c>
      <c r="B8" s="230"/>
      <c r="C8" s="230"/>
      <c r="D8" s="119" t="str">
        <f>'PLANILHA orçamentária'!D14</f>
        <v>M3</v>
      </c>
      <c r="E8" s="161" t="s">
        <v>307</v>
      </c>
      <c r="F8" s="162"/>
      <c r="G8" s="162"/>
      <c r="H8" s="163"/>
      <c r="I8" s="231">
        <f>'PLANILHA orçamentária'!E12-'PLANILHA orçamentária'!E21</f>
        <v>12.388124999999999</v>
      </c>
      <c r="J8" s="231"/>
    </row>
    <row r="9" spans="1:10" ht="24" customHeight="1" x14ac:dyDescent="0.25">
      <c r="A9" s="229" t="str">
        <f>'PLANILHA orçamentária'!C15</f>
        <v>ATERRO COMPACTADO COM PLACA VIBRATÓRIA</v>
      </c>
      <c r="B9" s="230"/>
      <c r="C9" s="230"/>
      <c r="D9" s="119" t="str">
        <f>'PLANILHA orçamentária'!D15</f>
        <v>M3</v>
      </c>
      <c r="E9" s="210" t="s">
        <v>308</v>
      </c>
      <c r="F9" s="211"/>
      <c r="G9" s="211"/>
      <c r="H9" s="211"/>
      <c r="I9" s="231">
        <f>(7.5+1.3+4.62+2.69+1.56+32.03+33.56)*0.2</f>
        <v>16.652000000000001</v>
      </c>
      <c r="J9" s="231"/>
    </row>
    <row r="10" spans="1:10" x14ac:dyDescent="0.25">
      <c r="A10" s="176" t="str">
        <f>'PLANILHA orçamentária'!C17</f>
        <v>FUNDAÇÕES</v>
      </c>
      <c r="B10" s="232"/>
      <c r="C10" s="232"/>
      <c r="D10" s="232"/>
      <c r="E10" s="232"/>
      <c r="F10" s="232"/>
      <c r="G10" s="232"/>
      <c r="H10" s="232"/>
      <c r="I10" s="232"/>
      <c r="J10" s="233"/>
    </row>
    <row r="11" spans="1:10" ht="33" customHeight="1" x14ac:dyDescent="0.25">
      <c r="A11" s="158" t="str">
        <f>'PLANILHA orçamentária'!C18</f>
        <v>LASTRO DE CONCRETO MAGRO, INCLUSIVE TRANSPORTE, LANÇAMENTO E ADENSAMENTO</v>
      </c>
      <c r="B11" s="173"/>
      <c r="C11" s="173"/>
      <c r="D11" s="120" t="str">
        <f>'PLANILHA orçamentária'!D18</f>
        <v>M3</v>
      </c>
      <c r="E11" s="198" t="s">
        <v>309</v>
      </c>
      <c r="F11" s="198"/>
      <c r="G11" s="198"/>
      <c r="H11" s="198"/>
      <c r="I11" s="234">
        <f>((0.7*0.6)*17+71*0.3)*0.05</f>
        <v>1.4220000000000002</v>
      </c>
      <c r="J11" s="234"/>
    </row>
    <row r="12" spans="1:10" ht="21.75" customHeight="1" x14ac:dyDescent="0.25">
      <c r="A12" s="158" t="str">
        <f>'PLANILHA orçamentária'!C19</f>
        <v>FORMA E DESFORMA EM TÁBUAS DE PINHO (3X)</v>
      </c>
      <c r="B12" s="173"/>
      <c r="C12" s="173"/>
      <c r="D12" s="120" t="str">
        <f>'PLANILHA orçamentária'!D19</f>
        <v>M2</v>
      </c>
      <c r="E12" s="162" t="s">
        <v>310</v>
      </c>
      <c r="F12" s="226"/>
      <c r="G12" s="226"/>
      <c r="H12" s="227"/>
      <c r="I12" s="228">
        <f>+(0.7*2+0.6*2)*0.25*17+71*0.35*2</f>
        <v>60.749999999999993</v>
      </c>
      <c r="J12" s="221"/>
    </row>
    <row r="13" spans="1:10" ht="15" customHeight="1" x14ac:dyDescent="0.25">
      <c r="A13" s="158" t="str">
        <f>'PLANILHA orçamentária'!C20</f>
        <v>CORTE, DOBRA E ARMAÇÃO DE AÇO CA-50/60</v>
      </c>
      <c r="B13" s="173"/>
      <c r="C13" s="173"/>
      <c r="D13" s="120" t="str">
        <f>'PLANILHA orçamentária'!D20</f>
        <v>KG</v>
      </c>
      <c r="E13" s="161" t="s">
        <v>312</v>
      </c>
      <c r="F13" s="226"/>
      <c r="G13" s="226"/>
      <c r="H13" s="227"/>
      <c r="I13" s="220">
        <f>5.78*60</f>
        <v>346.8</v>
      </c>
      <c r="J13" s="221"/>
    </row>
    <row r="14" spans="1:10" ht="51" customHeight="1" x14ac:dyDescent="0.25">
      <c r="A14" s="158" t="str">
        <f>'PLANILHA orçamentária'!C21</f>
        <v>CONCRETO ESTRUTURAL, PREPARADO EM OBRA COM BETONEIRA, CONTROLE "A", COM FCK 20 MPA ,BRITA Nº (1E2), CONSISTÊNCIA PARA VIBRAÇÃO (FABRICAÇÃO)</v>
      </c>
      <c r="B14" s="173"/>
      <c r="C14" s="173"/>
      <c r="D14" s="120" t="str">
        <f>'PLANILHA orçamentária'!D21</f>
        <v>M3</v>
      </c>
      <c r="E14" s="210" t="s">
        <v>311</v>
      </c>
      <c r="F14" s="210"/>
      <c r="G14" s="210"/>
      <c r="H14" s="210"/>
      <c r="I14" s="224">
        <f>+(0.7*0.6)*0.25*17+(0.25*0.15)*1.25*17+71*0.15*0.3</f>
        <v>5.7768750000000004</v>
      </c>
      <c r="J14" s="224"/>
    </row>
    <row r="15" spans="1:10" ht="44.25" customHeight="1" x14ac:dyDescent="0.25">
      <c r="A15" s="158" t="str">
        <f>'PLANILHA orçamentária'!C22</f>
        <v>LANÇAMENTO DE CONCRETO EM ESTRUTURA, INCLUSIVE TRANSPORTE ATÉ O LOCAL DE APLICAÇÃO, EXCLUSIVE APLICAÇÃO</v>
      </c>
      <c r="B15" s="173"/>
      <c r="C15" s="173"/>
      <c r="D15" s="120" t="str">
        <f>'PLANILHA orçamentária'!D22</f>
        <v>M3</v>
      </c>
      <c r="E15" s="210" t="s">
        <v>311</v>
      </c>
      <c r="F15" s="162"/>
      <c r="G15" s="162"/>
      <c r="H15" s="163"/>
      <c r="I15" s="220">
        <f>+(0.7*0.6)*0.25*17+(0.25*0.15)*1.25*17+71*0.15*0.3</f>
        <v>5.7768750000000004</v>
      </c>
      <c r="J15" s="221"/>
    </row>
    <row r="16" spans="1:10" ht="27.75" customHeight="1" x14ac:dyDescent="0.25">
      <c r="A16" s="158" t="str">
        <f>'PLANILHA orçamentária'!C23</f>
        <v>PINTURA COM EMULSÃO ASFÁLTICA, DUAS (2) DEMÃOS</v>
      </c>
      <c r="B16" s="173"/>
      <c r="C16" s="173"/>
      <c r="D16" s="120" t="str">
        <f>'PLANILHA orçamentária'!D23</f>
        <v>M2</v>
      </c>
      <c r="E16" s="210" t="s">
        <v>313</v>
      </c>
      <c r="F16" s="210"/>
      <c r="G16" s="210"/>
      <c r="H16" s="210"/>
      <c r="I16" s="224">
        <f>71*0.15*3</f>
        <v>31.950000000000003</v>
      </c>
      <c r="J16" s="224"/>
    </row>
    <row r="17" spans="1:10" x14ac:dyDescent="0.25">
      <c r="A17" s="200" t="str">
        <f>'PLANILHA orçamentária'!C25</f>
        <v>ESTRUTURA</v>
      </c>
      <c r="B17" s="201"/>
      <c r="C17" s="201"/>
      <c r="D17" s="201"/>
      <c r="E17" s="201"/>
      <c r="F17" s="201"/>
      <c r="G17" s="201"/>
      <c r="H17" s="201"/>
      <c r="I17" s="201"/>
      <c r="J17" s="202"/>
    </row>
    <row r="18" spans="1:10" ht="24" customHeight="1" x14ac:dyDescent="0.25">
      <c r="A18" s="159" t="str">
        <f>'PLANILHA orçamentária'!C26</f>
        <v>FORMA E DESFORMA EM TÁBUAS DE PINHO (3X)</v>
      </c>
      <c r="B18" s="160"/>
      <c r="C18" s="160"/>
      <c r="D18" s="118" t="str">
        <f>'PLANILHA orçamentária'!D26</f>
        <v>M2</v>
      </c>
      <c r="E18" s="161" t="s">
        <v>314</v>
      </c>
      <c r="F18" s="162"/>
      <c r="G18" s="162"/>
      <c r="H18" s="163"/>
      <c r="I18" s="224">
        <f>(0.25*2)*4.5*14+3.14*0.2*2*3*3+55.68*2*0.3</f>
        <v>76.212000000000003</v>
      </c>
      <c r="J18" s="224"/>
    </row>
    <row r="19" spans="1:10" ht="16.5" customHeight="1" x14ac:dyDescent="0.25">
      <c r="A19" s="159" t="str">
        <f>'PLANILHA orçamentária'!C27</f>
        <v>CORTE, DOBRA E ARMAÇÃO DE AÇO CA-50/60</v>
      </c>
      <c r="B19" s="160"/>
      <c r="C19" s="160"/>
      <c r="D19" s="118" t="str">
        <f>'PLANILHA orçamentária'!D27</f>
        <v>KG</v>
      </c>
      <c r="E19" s="210" t="s">
        <v>316</v>
      </c>
      <c r="F19" s="210"/>
      <c r="G19" s="210"/>
      <c r="H19" s="210"/>
      <c r="I19" s="224">
        <f>6.18*80</f>
        <v>494.4</v>
      </c>
      <c r="J19" s="224"/>
    </row>
    <row r="20" spans="1:10" ht="60" customHeight="1" x14ac:dyDescent="0.25">
      <c r="A20" s="159" t="str">
        <f>'PLANILHA orçamentária'!C28</f>
        <v>CONCRETO ESTRUTURAL, PREPARADO EM OBRA COM BETONEIRA, CONTROLE "A", COM FCK 20 MPA ,BRITA Nº (1E2), CONSISTÊNCIA PARA VIBRAÇÃO (FABRICAÇÃO)</v>
      </c>
      <c r="B20" s="160"/>
      <c r="C20" s="160"/>
      <c r="D20" s="118" t="str">
        <f>'PLANILHA orçamentária'!D28</f>
        <v>M3</v>
      </c>
      <c r="E20" s="210" t="s">
        <v>315</v>
      </c>
      <c r="F20" s="210"/>
      <c r="G20" s="210"/>
      <c r="H20" s="210"/>
      <c r="I20" s="224">
        <f>(0.25*0.15)*4.5*14+3.14*0.2*0.2*3*3+59.68*0.15*0.3</f>
        <v>6.1784999999999997</v>
      </c>
      <c r="J20" s="224"/>
    </row>
    <row r="21" spans="1:10" ht="42.75" customHeight="1" x14ac:dyDescent="0.25">
      <c r="A21" s="159" t="str">
        <f>'PLANILHA orçamentária'!C29</f>
        <v>LANÇAMENTO DE CONCRETO EM ESTRUTURA, INCLUSIVE TRANSPORTE ATÉ O LOCAL DE APLICAÇÃO, EXCLUSIVE APLICAÇÃO</v>
      </c>
      <c r="B21" s="160"/>
      <c r="C21" s="160"/>
      <c r="D21" s="118" t="str">
        <f>'PLANILHA orçamentária'!D29</f>
        <v>M3</v>
      </c>
      <c r="E21" s="210" t="s">
        <v>315</v>
      </c>
      <c r="F21" s="210"/>
      <c r="G21" s="210"/>
      <c r="H21" s="210"/>
      <c r="I21" s="224">
        <f>(0.25*0.15)*4.5*14+3.14*0.2*0.2*3*3+59.68*0.15*0.3</f>
        <v>6.1784999999999997</v>
      </c>
      <c r="J21" s="224"/>
    </row>
    <row r="22" spans="1:10" ht="15" customHeight="1" x14ac:dyDescent="0.25">
      <c r="A22" s="159" t="str">
        <f>'PLANILHA orçamentária'!C30</f>
        <v>VERGA 10X10CM EM CONCRETO PRÉ-MOLDADO FCK=20MPA (PREPARO COM BETONEIRA) AÇO CA60, BITOLA FINA, INCLUSIVE FORMAS TABUA 3A.</v>
      </c>
      <c r="B22" s="160"/>
      <c r="C22" s="160"/>
      <c r="D22" s="118" t="str">
        <f>'PLANILHA orçamentária'!D30</f>
        <v>M</v>
      </c>
      <c r="E22" s="166">
        <v>7.8</v>
      </c>
      <c r="F22" s="225"/>
      <c r="G22" s="225"/>
      <c r="H22" s="225"/>
      <c r="I22" s="166">
        <v>7.8</v>
      </c>
      <c r="J22" s="166"/>
    </row>
    <row r="23" spans="1:10" ht="15" customHeight="1" x14ac:dyDescent="0.25">
      <c r="A23" s="159" t="str">
        <f>'PLANILHA orçamentária'!C31</f>
        <v>LAJE PRÉ-MOLDADA, A REVESTIR, INCLUSIVE CAPEAMENTO E=4CM, SC = 100 KG/M2, L = 3,00 M</v>
      </c>
      <c r="B23" s="160"/>
      <c r="C23" s="160"/>
      <c r="D23" s="118" t="str">
        <f>'PLANILHA orçamentária'!D31</f>
        <v>M2</v>
      </c>
      <c r="E23" s="170">
        <v>91.74</v>
      </c>
      <c r="F23" s="171"/>
      <c r="G23" s="171"/>
      <c r="H23" s="172"/>
      <c r="I23" s="170">
        <v>91.74</v>
      </c>
      <c r="J23" s="172"/>
    </row>
    <row r="24" spans="1:10" x14ac:dyDescent="0.25">
      <c r="A24" s="155" t="str">
        <f>'PLANILHA orçamentária'!C33</f>
        <v>COBERTURA</v>
      </c>
      <c r="B24" s="156"/>
      <c r="C24" s="156"/>
      <c r="D24" s="156"/>
      <c r="E24" s="156"/>
      <c r="F24" s="156"/>
      <c r="G24" s="156"/>
      <c r="H24" s="156"/>
      <c r="I24" s="156"/>
      <c r="J24" s="157"/>
    </row>
    <row r="25" spans="1:10" ht="44.25" customHeight="1" x14ac:dyDescent="0.25">
      <c r="A25" s="167" t="str">
        <f>'PLANILHA orçamentária'!C34</f>
        <v>FORNECIMENTO, FABRICAÇÃO, TRANSPORTE E MONTAGEM DE ESTRUTURA METÁLICA PARA TELHADO SOBRE LAJE PARA TELHAS METÁLICAS, INCLUSIVE PINTURA PRIMER</v>
      </c>
      <c r="B25" s="168"/>
      <c r="C25" s="169"/>
      <c r="D25" s="118" t="str">
        <f>'PLANILHA orçamentária'!D34</f>
        <v>M2</v>
      </c>
      <c r="E25" s="189">
        <v>85.65</v>
      </c>
      <c r="F25" s="190"/>
      <c r="G25" s="190"/>
      <c r="H25" s="165"/>
      <c r="I25" s="220">
        <v>85.65</v>
      </c>
      <c r="J25" s="221"/>
    </row>
    <row r="26" spans="1:10" ht="60" customHeight="1" x14ac:dyDescent="0.25">
      <c r="A26" s="167" t="str">
        <f>'PLANILHA orçamentária'!C35</f>
        <v>COBERTURA EM TELHA METÁLICA GALVANIZADA TRAPEZOIDAL, TIPO SIMPLES, ESP. 0,50MM, ACABAMENTO NATURAL, INCLUSIVE ACESSÓRIOS PARA FIXAÇÃO, FORNECIMENTO E INSTALAÇÃO</v>
      </c>
      <c r="B26" s="168"/>
      <c r="C26" s="169"/>
      <c r="D26" s="118" t="str">
        <f>'PLANILHA orçamentária'!D35</f>
        <v>M2</v>
      </c>
      <c r="E26" s="189">
        <v>85.65</v>
      </c>
      <c r="F26" s="190"/>
      <c r="G26" s="190"/>
      <c r="H26" s="165"/>
      <c r="I26" s="220">
        <v>85.65</v>
      </c>
      <c r="J26" s="221"/>
    </row>
    <row r="27" spans="1:10" ht="34.5" customHeight="1" x14ac:dyDescent="0.25">
      <c r="A27" s="167" t="str">
        <f>'PLANILHA orçamentária'!C36</f>
        <v>COLOCAÇÃO DE CUMEEIRA GALVANIZADA TRAPEZOIDAL E=0,50MM, SIMPLES</v>
      </c>
      <c r="B27" s="168"/>
      <c r="C27" s="169"/>
      <c r="D27" s="118" t="str">
        <f>'PLANILHA orçamentária'!D36</f>
        <v>M</v>
      </c>
      <c r="E27" s="189">
        <v>9.1</v>
      </c>
      <c r="F27" s="222"/>
      <c r="G27" s="222"/>
      <c r="H27" s="223"/>
      <c r="I27" s="220">
        <v>9.1</v>
      </c>
      <c r="J27" s="221"/>
    </row>
    <row r="28" spans="1:10" ht="37.5" customHeight="1" x14ac:dyDescent="0.25">
      <c r="A28" s="167" t="str">
        <f>'PLANILHA orçamentária'!C37</f>
        <v>RUFO E CONTRA-RUFO DE CHAPA GALVANIZADA Nº.24, DESENVOLVIMENTO = 15 CM</v>
      </c>
      <c r="B28" s="168"/>
      <c r="C28" s="169"/>
      <c r="D28" s="118" t="str">
        <f>'PLANILHA orçamentária'!D37</f>
        <v>M</v>
      </c>
      <c r="E28" s="215" t="s">
        <v>317</v>
      </c>
      <c r="F28" s="216"/>
      <c r="G28" s="216"/>
      <c r="H28" s="217"/>
      <c r="I28" s="215">
        <f>41.12+9.35</f>
        <v>50.47</v>
      </c>
      <c r="J28" s="217"/>
    </row>
    <row r="29" spans="1:10" ht="34.5" customHeight="1" x14ac:dyDescent="0.25">
      <c r="A29" s="167" t="str">
        <f>'PLANILHA orçamentária'!C38</f>
        <v>CALHA DE CHAPA GALVANIZADA Nº. 26 GSG, DESENVOLVIMENTO= 50 CM</v>
      </c>
      <c r="B29" s="218"/>
      <c r="C29" s="219"/>
      <c r="D29" s="118" t="str">
        <f>'PLANILHA orçamentária'!D38</f>
        <v>M</v>
      </c>
      <c r="E29" s="215" t="s">
        <v>318</v>
      </c>
      <c r="F29" s="216"/>
      <c r="G29" s="216"/>
      <c r="H29" s="217"/>
      <c r="I29" s="215">
        <f>9.05*2+6+8</f>
        <v>32.1</v>
      </c>
      <c r="J29" s="217"/>
    </row>
    <row r="30" spans="1:10" ht="34.5" customHeight="1" x14ac:dyDescent="0.25">
      <c r="A30" s="167" t="str">
        <f>'PLANILHA orçamentária'!C39</f>
        <v>CHAPIM METÁLICO, COM PINGADEIRA, CHAPA GALVANIZADA Nº 24, DESENVOLVIMENTO = 35 CM</v>
      </c>
      <c r="B30" s="218"/>
      <c r="C30" s="219"/>
      <c r="D30" s="118" t="str">
        <f>'PLANILHA orçamentária'!D39</f>
        <v>M</v>
      </c>
      <c r="E30" s="215" t="str">
        <f>E28</f>
        <v>41,12+9,35</v>
      </c>
      <c r="F30" s="216"/>
      <c r="G30" s="216"/>
      <c r="H30" s="217"/>
      <c r="I30" s="215">
        <f>I28</f>
        <v>50.47</v>
      </c>
      <c r="J30" s="217"/>
    </row>
    <row r="31" spans="1:10" ht="34.5" customHeight="1" x14ac:dyDescent="0.25">
      <c r="A31" s="167" t="str">
        <f>'PLANILHA orçamentária'!C40</f>
        <v>CONDUTOR DE AP DO TELHADO EM TUBO PVC ESGOTO, INCLUSIVE CONEXÕES E SUPORTES, 75 MM</v>
      </c>
      <c r="B31" s="218"/>
      <c r="C31" s="219"/>
      <c r="D31" s="118" t="str">
        <f>'PLANILHA orçamentária'!D40</f>
        <v>M</v>
      </c>
      <c r="E31" s="215" t="s">
        <v>319</v>
      </c>
      <c r="F31" s="216"/>
      <c r="G31" s="216"/>
      <c r="H31" s="217"/>
      <c r="I31" s="215">
        <f>3*4</f>
        <v>12</v>
      </c>
      <c r="J31" s="217"/>
    </row>
    <row r="32" spans="1:10" x14ac:dyDescent="0.25">
      <c r="A32" s="155" t="str">
        <f>'[1]Planilia Atualizada'!D37</f>
        <v>PAREDES E PAINEIS</v>
      </c>
      <c r="B32" s="156"/>
      <c r="C32" s="156"/>
      <c r="D32" s="156"/>
      <c r="E32" s="156"/>
      <c r="F32" s="156"/>
      <c r="G32" s="156"/>
      <c r="H32" s="156"/>
      <c r="I32" s="156"/>
      <c r="J32" s="157"/>
    </row>
    <row r="33" spans="1:10" ht="49.5" customHeight="1" x14ac:dyDescent="0.25">
      <c r="A33" s="158" t="str">
        <f>'PLANILHA orçamentária'!C43</f>
        <v>ALVENARIA DE VEDAÇÃO COM BLOCO DE CONCRETO, ESP. 14CM, PARA REVESTIMENTO, INCLUSIVE ARGAMASSA PARA ASSENTAMENTO</v>
      </c>
      <c r="B33" s="173"/>
      <c r="C33" s="173"/>
      <c r="D33" s="121" t="str">
        <f>'PLANILHA orçamentária'!D43</f>
        <v>M2</v>
      </c>
      <c r="E33" s="170" t="s">
        <v>320</v>
      </c>
      <c r="F33" s="171"/>
      <c r="G33" s="171"/>
      <c r="H33" s="172"/>
      <c r="I33" s="166">
        <f>71*3+35*1.2</f>
        <v>255</v>
      </c>
      <c r="J33" s="166"/>
    </row>
    <row r="34" spans="1:10" ht="26.25" customHeight="1" x14ac:dyDescent="0.25">
      <c r="A34" s="158" t="str">
        <f>'PLANILHA orçamentária'!C44</f>
        <v>SOLEIRA DE GRANITO CINZA ANDORINHA E = 2 CM</v>
      </c>
      <c r="B34" s="173"/>
      <c r="C34" s="173"/>
      <c r="D34" s="121" t="str">
        <f>'PLANILHA orçamentária'!D44</f>
        <v>M2</v>
      </c>
      <c r="E34" s="170" t="s">
        <v>321</v>
      </c>
      <c r="F34" s="171"/>
      <c r="G34" s="171"/>
      <c r="H34" s="172"/>
      <c r="I34" s="166">
        <f>+(0.7*2+0.8*2+3.2)*0.15</f>
        <v>0.92999999999999994</v>
      </c>
      <c r="J34" s="166"/>
    </row>
    <row r="35" spans="1:10" ht="39" customHeight="1" x14ac:dyDescent="0.25">
      <c r="A35" s="158" t="str">
        <f>'PLANILHA orçamentária'!C45</f>
        <v>PEITORIL DE GRANITO CINZA ANDORINHA E = 2 CM</v>
      </c>
      <c r="B35" s="173"/>
      <c r="C35" s="173"/>
      <c r="D35" s="121" t="str">
        <f>'PLANILHA orçamentária'!D45</f>
        <v>M2</v>
      </c>
      <c r="E35" s="170" t="s">
        <v>322</v>
      </c>
      <c r="F35" s="171"/>
      <c r="G35" s="171"/>
      <c r="H35" s="172"/>
      <c r="I35" s="166">
        <f>(0.7*8+1.5*2)*0.18</f>
        <v>1.5479999999999998</v>
      </c>
      <c r="J35" s="166"/>
    </row>
    <row r="36" spans="1:10" x14ac:dyDescent="0.25">
      <c r="A36" s="207" t="str">
        <f>'PLANILHA orçamentária'!C47</f>
        <v>ESQUADRIAS E FERRAGENS</v>
      </c>
      <c r="B36" s="208"/>
      <c r="C36" s="208"/>
      <c r="D36" s="208"/>
      <c r="E36" s="208"/>
      <c r="F36" s="208"/>
      <c r="G36" s="208"/>
      <c r="H36" s="208"/>
      <c r="I36" s="208"/>
      <c r="J36" s="209"/>
    </row>
    <row r="37" spans="1:10" ht="77.25" customHeight="1" x14ac:dyDescent="0.25">
      <c r="A37" s="167" t="str">
        <f>'PLANILHA orçamentária'!C48</f>
        <v>FORNECIMENTO E ASSENTAMENTO DE JANELA DE ALUMÍNIO, LINHA SUPREMA ACABAMENTO ANODIZADO, TIPO BASCULA COM CONTRAMARCO, INCLUSIVE FORNECIMENTO DE VIDRO LISO DE 4MM, FERRAGENS E ACESSÓRIOS</v>
      </c>
      <c r="B37" s="168"/>
      <c r="C37" s="169"/>
      <c r="D37" s="119" t="str">
        <f>'PLANILHA orçamentária'!D48</f>
        <v>M2</v>
      </c>
      <c r="E37" s="161" t="s">
        <v>323</v>
      </c>
      <c r="F37" s="162"/>
      <c r="G37" s="162"/>
      <c r="H37" s="163"/>
      <c r="I37" s="164">
        <f>0.7*2*6+1.5*2+0.7*0.7*2</f>
        <v>12.379999999999999</v>
      </c>
      <c r="J37" s="165"/>
    </row>
    <row r="38" spans="1:10" ht="77.25" customHeight="1" x14ac:dyDescent="0.25">
      <c r="A38" s="167" t="str">
        <f>'PLANILHA orçamentária'!C49</f>
        <v>FORNECIMENTO E ASSENTAMENTO DE PORTA DE ALUMÍNIO, LINHA SUPREMA ACABAMENTO ANODIZADO, TIPO CORRER, COM DUAS FOLHAS, INCLUSIVE FORNECIMENTO DE VIDRO LISO DE 4MM, FERRAGENS ACESSÓRIOS</v>
      </c>
      <c r="B38" s="168"/>
      <c r="C38" s="169"/>
      <c r="D38" s="119" t="str">
        <f>'PLANILHA orçamentária'!D49</f>
        <v>M2</v>
      </c>
      <c r="E38" s="212" t="s">
        <v>324</v>
      </c>
      <c r="F38" s="213"/>
      <c r="G38" s="213"/>
      <c r="H38" s="214"/>
      <c r="I38" s="212">
        <f>3.2*2.5</f>
        <v>8</v>
      </c>
      <c r="J38" s="214"/>
    </row>
    <row r="39" spans="1:10" ht="42.75" customHeight="1" x14ac:dyDescent="0.25">
      <c r="A39" s="167" t="str">
        <f>'PLANILHA orçamentária'!C50</f>
        <v>PORTA DE ABRIR, MADEIRA DE LEI PRANCHETA PARA PINTURA COMPLETA 80 X 210 CM,COM FERRAGENS EM FERRO LATONADO</v>
      </c>
      <c r="B39" s="168"/>
      <c r="C39" s="169"/>
      <c r="D39" s="119" t="str">
        <f>'PLANILHA orçamentária'!D50</f>
        <v>UN</v>
      </c>
      <c r="E39" s="210" t="s">
        <v>295</v>
      </c>
      <c r="F39" s="210"/>
      <c r="G39" s="210"/>
      <c r="H39" s="210"/>
      <c r="I39" s="210">
        <f>1*1</f>
        <v>1</v>
      </c>
      <c r="J39" s="210"/>
    </row>
    <row r="40" spans="1:10" ht="57.75" customHeight="1" x14ac:dyDescent="0.25">
      <c r="A40" s="167" t="str">
        <f>'PLANILHA orçamentária'!C51</f>
        <v>PORTA METÁLICA 70 X 210 CM , INCLUINDO FECHADURA TIPO EXTERNA E FERRAGENS, CONFORME DETALHE PADRÃO ESCOLAR 4/98 VERSÃO 2005</v>
      </c>
      <c r="B40" s="168"/>
      <c r="C40" s="169"/>
      <c r="D40" s="119" t="str">
        <f>'PLANILHA orçamentária'!D51</f>
        <v>UN</v>
      </c>
      <c r="E40" s="210" t="s">
        <v>293</v>
      </c>
      <c r="F40" s="210"/>
      <c r="G40" s="210"/>
      <c r="H40" s="210"/>
      <c r="I40" s="210">
        <f>1*2</f>
        <v>2</v>
      </c>
      <c r="J40" s="210"/>
    </row>
    <row r="41" spans="1:10" ht="55.5" customHeight="1" x14ac:dyDescent="0.25">
      <c r="A41" s="167" t="str">
        <f>'PLANILHA orçamentária'!C52</f>
        <v>PORTA METÁLICA 80 X 210 CM , INCLUINDO FECHADURA TIPO EXTERNA E FERRAGENS, CONFORME DETALHE PADRÃO ESCOLAR 4/98 VERSÃO 2005</v>
      </c>
      <c r="B41" s="168"/>
      <c r="C41" s="169"/>
      <c r="D41" s="119" t="str">
        <f>'PLANILHA orçamentária'!D52</f>
        <v>UN</v>
      </c>
      <c r="E41" s="210" t="s">
        <v>293</v>
      </c>
      <c r="F41" s="211"/>
      <c r="G41" s="211"/>
      <c r="H41" s="211"/>
      <c r="I41" s="161">
        <f>1*2</f>
        <v>2</v>
      </c>
      <c r="J41" s="163"/>
    </row>
    <row r="42" spans="1:10" ht="33.75" customHeight="1" x14ac:dyDescent="0.25">
      <c r="A42" s="167" t="str">
        <f>'PLANILHA orçamentária'!C53</f>
        <v>FECHADURA DE EMBUTIR COMPLETA, PARA PORTAS INTERNAS, PADRAO DE ACABAMENTO MEDIO</v>
      </c>
      <c r="B42" s="168"/>
      <c r="C42" s="169"/>
      <c r="D42" s="119" t="str">
        <f>'PLANILHA orçamentária'!D53</f>
        <v>UN</v>
      </c>
      <c r="E42" s="170" t="s">
        <v>325</v>
      </c>
      <c r="F42" s="171"/>
      <c r="G42" s="171"/>
      <c r="H42" s="172"/>
      <c r="I42" s="166">
        <f>5*1</f>
        <v>5</v>
      </c>
      <c r="J42" s="166"/>
    </row>
    <row r="43" spans="1:10" ht="24.75" customHeight="1" x14ac:dyDescent="0.25">
      <c r="A43" s="167" t="str">
        <f>'PLANILHA orçamentária'!C54</f>
        <v>ALCAPAO EM FERRO 60X60CM, INCLUSO FERRAGENS</v>
      </c>
      <c r="B43" s="168"/>
      <c r="C43" s="169"/>
      <c r="D43" s="119" t="str">
        <f>'PLANILHA orçamentária'!D54</f>
        <v>UN</v>
      </c>
      <c r="E43" s="170" t="s">
        <v>295</v>
      </c>
      <c r="F43" s="171"/>
      <c r="G43" s="171"/>
      <c r="H43" s="172"/>
      <c r="I43" s="166">
        <f>1*1</f>
        <v>1</v>
      </c>
      <c r="J43" s="166"/>
    </row>
    <row r="44" spans="1:10" ht="31.5" customHeight="1" x14ac:dyDescent="0.25">
      <c r="A44" s="167" t="str">
        <f>'PLANILHA orçamentária'!C55</f>
        <v>PORTÃO DE TUBO DE FERRO COLOCADO COM CADEADO</v>
      </c>
      <c r="B44" s="168"/>
      <c r="C44" s="169"/>
      <c r="D44" s="119" t="str">
        <f>'PLANILHA orçamentária'!D55</f>
        <v>M2</v>
      </c>
      <c r="E44" s="170" t="s">
        <v>326</v>
      </c>
      <c r="F44" s="171"/>
      <c r="G44" s="171"/>
      <c r="H44" s="172"/>
      <c r="I44" s="166">
        <f>4*2.2+3.5*2.2</f>
        <v>16.5</v>
      </c>
      <c r="J44" s="166"/>
    </row>
    <row r="45" spans="1:10" x14ac:dyDescent="0.25">
      <c r="A45" s="207" t="str">
        <f>'PLANILHA orçamentária'!C57</f>
        <v>INSTALAÇÕES HIDROSSANITÁRIAS</v>
      </c>
      <c r="B45" s="208"/>
      <c r="C45" s="208"/>
      <c r="D45" s="208"/>
      <c r="E45" s="208"/>
      <c r="F45" s="208"/>
      <c r="G45" s="208"/>
      <c r="H45" s="208"/>
      <c r="I45" s="208"/>
      <c r="J45" s="209"/>
    </row>
    <row r="46" spans="1:10" ht="59.25" customHeight="1" x14ac:dyDescent="0.25">
      <c r="A46" s="205" t="str">
        <f>'PLANILHA orçamentária'!C58</f>
        <v xml:space="preserve">PONTO DE ESGOTO, INCLUINDO TUBO DE PVC RÍGIDO SOLDÁVEL DE 40 MM E CONEXÕES (LAVATÓRIOS, MICTÓRIOS, RALOS SIFONADOS, ETC.) </v>
      </c>
      <c r="B46" s="205"/>
      <c r="C46" s="205"/>
      <c r="D46" s="122" t="str">
        <f>'PLANILHA orçamentária'!D58</f>
        <v>PT</v>
      </c>
      <c r="E46" s="206" t="s">
        <v>293</v>
      </c>
      <c r="F46" s="206"/>
      <c r="G46" s="206"/>
      <c r="H46" s="206"/>
      <c r="I46" s="206">
        <v>2</v>
      </c>
      <c r="J46" s="206"/>
    </row>
    <row r="47" spans="1:10" ht="49.5" customHeight="1" x14ac:dyDescent="0.25">
      <c r="A47" s="205" t="str">
        <f>'PLANILHA orçamentária'!C59</f>
        <v xml:space="preserve">PONTO DE ESGOTO, INCLUINDO TUBO DE PVC RÍGIDO SOLDÁVEL DE 50 MM E CONEXÕES (PIAS DE COZINHA, MÁQUINAS DE LAVAR, ETC.) </v>
      </c>
      <c r="B47" s="205"/>
      <c r="C47" s="205"/>
      <c r="D47" s="122" t="str">
        <f>'PLANILHA orçamentária'!D59</f>
        <v>PT</v>
      </c>
      <c r="E47" s="206" t="s">
        <v>292</v>
      </c>
      <c r="F47" s="206"/>
      <c r="G47" s="206"/>
      <c r="H47" s="206"/>
      <c r="I47" s="206">
        <f>1*3</f>
        <v>3</v>
      </c>
      <c r="J47" s="206"/>
    </row>
    <row r="48" spans="1:10" ht="48" customHeight="1" x14ac:dyDescent="0.25">
      <c r="A48" s="205" t="str">
        <f>'PLANILHA orçamentária'!C60</f>
        <v xml:space="preserve">PONTO DE ESGOTO, INCLUINDO TUBO DE PVC RÍGIDO SOLDÁVEL DE 100 MM E CONEXÕES (VASO SANITÁRIO) </v>
      </c>
      <c r="B48" s="205"/>
      <c r="C48" s="205"/>
      <c r="D48" s="122" t="str">
        <f>'PLANILHA orçamentária'!D60</f>
        <v>PT</v>
      </c>
      <c r="E48" s="206" t="s">
        <v>293</v>
      </c>
      <c r="F48" s="206"/>
      <c r="G48" s="206"/>
      <c r="H48" s="206"/>
      <c r="I48" s="206">
        <v>2</v>
      </c>
      <c r="J48" s="206"/>
    </row>
    <row r="49" spans="1:10" ht="36" customHeight="1" x14ac:dyDescent="0.25">
      <c r="A49" s="205" t="str">
        <f>'PLANILHA orçamentária'!C61</f>
        <v xml:space="preserve">PONTO DE ÁGUA FRIA EMBUTIDO, INCLUINDO TUBO DE PVC RÍGIDO ROSCÁVEL E CONEXÕES </v>
      </c>
      <c r="B49" s="205"/>
      <c r="C49" s="205"/>
      <c r="D49" s="122" t="str">
        <f>'PLANILHA orçamentária'!D61</f>
        <v>PT</v>
      </c>
      <c r="E49" s="206" t="s">
        <v>294</v>
      </c>
      <c r="F49" s="206"/>
      <c r="G49" s="206"/>
      <c r="H49" s="206"/>
      <c r="I49" s="206">
        <v>6</v>
      </c>
      <c r="J49" s="206"/>
    </row>
    <row r="50" spans="1:10" ht="57.75" customHeight="1" x14ac:dyDescent="0.25">
      <c r="A50" s="205" t="str">
        <f>'PLANILHA orçamentária'!C62</f>
        <v>REGISTRO DE PRESSÃO BRUTO, LATÃO, ROSCÁVEL, 1/2", COM ACABAMENTO E CANOPLA CROMADOS. FORNECIDO E INSTALADO EM RAMAL DE ÁGUA. AF_12/2014</v>
      </c>
      <c r="B50" s="205"/>
      <c r="C50" s="205"/>
      <c r="D50" s="122" t="str">
        <f>'PLANILHA orçamentária'!D62</f>
        <v>PT</v>
      </c>
      <c r="E50" s="206" t="s">
        <v>292</v>
      </c>
      <c r="F50" s="206"/>
      <c r="G50" s="206"/>
      <c r="H50" s="206"/>
      <c r="I50" s="206">
        <v>3</v>
      </c>
      <c r="J50" s="206"/>
    </row>
    <row r="51" spans="1:10" ht="84.75" customHeight="1" x14ac:dyDescent="0.25">
      <c r="A51" s="205" t="str">
        <f>'PLANILHA orçamentária'!C63</f>
        <v>REGISTRO DE GAVETA BRUTO, LATÃO, ROSCÁVEL, 1 1/2", COM ACABAMENTO E CANOPLA CROMADOS, INSTALADO EM RESERVAÇÃO DE ÁGUA DE EDIFICAÇÃO QUE POSSUA RESERVATÓRIO DE FIBRA/FIBROCIMENTO FORNECIMENTO E INSTALAÇÃO. AF_06/2016</v>
      </c>
      <c r="B51" s="205"/>
      <c r="C51" s="205"/>
      <c r="D51" s="122" t="str">
        <f>'PLANILHA orçamentária'!D63</f>
        <v>PT</v>
      </c>
      <c r="E51" s="206" t="s">
        <v>293</v>
      </c>
      <c r="F51" s="206"/>
      <c r="G51" s="206"/>
      <c r="H51" s="206"/>
      <c r="I51" s="189">
        <v>2</v>
      </c>
      <c r="J51" s="165"/>
    </row>
    <row r="52" spans="1:10" ht="47.25" customHeight="1" x14ac:dyDescent="0.25">
      <c r="A52" s="205" t="str">
        <f>'PLANILHA orçamentária'!C64</f>
        <v>VÁLVULA DE DESCARGA METÁLICA, BASE 1 1/2 ", ACABAMENTO METALICO CROMADO - FORNECIMENTO E INSTALAÇÃO. AF_01/2019</v>
      </c>
      <c r="B52" s="205"/>
      <c r="C52" s="205"/>
      <c r="D52" s="122" t="str">
        <f>'PLANILHA orçamentária'!D64</f>
        <v>UN</v>
      </c>
      <c r="E52" s="206" t="s">
        <v>293</v>
      </c>
      <c r="F52" s="206"/>
      <c r="G52" s="206"/>
      <c r="H52" s="206"/>
      <c r="I52" s="164">
        <v>2</v>
      </c>
      <c r="J52" s="165"/>
    </row>
    <row r="53" spans="1:10" ht="60.75" customHeight="1" x14ac:dyDescent="0.25">
      <c r="A53" s="205" t="str">
        <f>'PLANILHA orçamentária'!C65</f>
        <v>CAIXA SIFONADA, PVC, DN 100 X 100 X 50 MM, JUNTA ELÁSTICA, FORNECIDA E INSTALADA EM RAMAL DE DESCARGA OU EM RAMAL DE ESGOTO SANITÁRIO. AF_12/2014</v>
      </c>
      <c r="B53" s="205"/>
      <c r="C53" s="205"/>
      <c r="D53" s="122" t="str">
        <f>'PLANILHA orçamentária'!D65</f>
        <v>UN</v>
      </c>
      <c r="E53" s="206" t="s">
        <v>292</v>
      </c>
      <c r="F53" s="206"/>
      <c r="G53" s="206"/>
      <c r="H53" s="206"/>
      <c r="I53" s="204">
        <v>3</v>
      </c>
      <c r="J53" s="204"/>
    </row>
    <row r="54" spans="1:10" ht="46.5" customHeight="1" x14ac:dyDescent="0.25">
      <c r="A54" s="205" t="str">
        <f>'PLANILHA orçamentária'!C66</f>
        <v>VASO SANITARIO SIFONADO CONVENCIONAL COM LOUÇA BRANCA - FORNECIMENTO E INSTALAÇÃO. AF_10/2016</v>
      </c>
      <c r="B54" s="205"/>
      <c r="C54" s="205"/>
      <c r="D54" s="122" t="str">
        <f>'PLANILHA orçamentária'!D66</f>
        <v>UN</v>
      </c>
      <c r="E54" s="206" t="s">
        <v>293</v>
      </c>
      <c r="F54" s="206"/>
      <c r="G54" s="206"/>
      <c r="H54" s="206"/>
      <c r="I54" s="204">
        <v>2</v>
      </c>
      <c r="J54" s="204"/>
    </row>
    <row r="55" spans="1:10" ht="42.75" customHeight="1" x14ac:dyDescent="0.25">
      <c r="A55" s="205" t="str">
        <f>'PLANILHA orçamentária'!C67</f>
        <v>LAVATÓRIO LOUÇA BRANCA SUSPENSO, 29,5 X 39CM OU EQUIVALENTE, PADRÃO POPULAR - FORNECIMENTO E INSTALAÇÃO. AF_12/2013</v>
      </c>
      <c r="B55" s="205"/>
      <c r="C55" s="205"/>
      <c r="D55" s="122" t="str">
        <f>'PLANILHA orçamentária'!D67</f>
        <v>UN</v>
      </c>
      <c r="E55" s="206" t="s">
        <v>293</v>
      </c>
      <c r="F55" s="206"/>
      <c r="G55" s="206"/>
      <c r="H55" s="206"/>
      <c r="I55" s="164">
        <v>2</v>
      </c>
      <c r="J55" s="165"/>
    </row>
    <row r="56" spans="1:10" ht="35.25" customHeight="1" x14ac:dyDescent="0.25">
      <c r="A56" s="205" t="str">
        <f>'PLANILHA orçamentária'!C68</f>
        <v xml:space="preserve">DUCHA HIGIÊNICA COM REGISTRO PARA CONTROLE DE FLUXO DE ÁGUA 1/2" </v>
      </c>
      <c r="B56" s="205"/>
      <c r="C56" s="205"/>
      <c r="D56" s="122" t="str">
        <f>'PLANILHA orçamentária'!D68</f>
        <v>UN</v>
      </c>
      <c r="E56" s="206" t="s">
        <v>293</v>
      </c>
      <c r="F56" s="206"/>
      <c r="G56" s="206"/>
      <c r="H56" s="206"/>
      <c r="I56" s="164">
        <v>2</v>
      </c>
      <c r="J56" s="165"/>
    </row>
    <row r="57" spans="1:10" ht="32.25" customHeight="1" x14ac:dyDescent="0.25">
      <c r="A57" s="205" t="str">
        <f>'PLANILHA orçamentária'!C69</f>
        <v>TORNEIRA PLÁSTICA 3/4" PARA TANQUE - FORNECIMENTO E INSTALAÇÃO. AF_12/2013</v>
      </c>
      <c r="B57" s="205"/>
      <c r="C57" s="205"/>
      <c r="D57" s="122" t="str">
        <f>'PLANILHA orçamentária'!D69</f>
        <v>UN</v>
      </c>
      <c r="E57" s="206" t="s">
        <v>292</v>
      </c>
      <c r="F57" s="206"/>
      <c r="G57" s="206"/>
      <c r="H57" s="206"/>
      <c r="I57" s="164">
        <v>3</v>
      </c>
      <c r="J57" s="165"/>
    </row>
    <row r="58" spans="1:10" ht="108" customHeight="1" x14ac:dyDescent="0.25">
      <c r="A58" s="205" t="str">
        <f>'PLANILHA orçamentária'!C70</f>
        <v>BANCADA DE GRANITO CINZA POLIDO 150 X 60 CM, COM CUBA DE EMBUTIR DE AÇO INOXIDÁVEL MÉDIA, VÁLVULA AMERICANA EM METAL CROMADO, SIFÃO FLEXÍVEL EM PVC, ENGATE FLEXÍVEL 30 CM, TORNEIRA CROMADA LONGA DE PAREDE, 1/2 OU 3/4, PARA PIA DE COZINHA, PADRÃO POPULAR- FORNEC. E INSTAL. AF_12/2013</v>
      </c>
      <c r="B58" s="205"/>
      <c r="C58" s="205"/>
      <c r="D58" s="122" t="str">
        <f>'PLANILHA orçamentária'!D70</f>
        <v>UN</v>
      </c>
      <c r="E58" s="206" t="s">
        <v>295</v>
      </c>
      <c r="F58" s="206"/>
      <c r="G58" s="206"/>
      <c r="H58" s="206"/>
      <c r="I58" s="164">
        <v>1</v>
      </c>
      <c r="J58" s="165"/>
    </row>
    <row r="59" spans="1:10" ht="35.25" customHeight="1" x14ac:dyDescent="0.25">
      <c r="A59" s="205" t="str">
        <f>'PLANILHA orçamentária'!C71</f>
        <v>ESPELHO CRISTAL, ESPESSURA 4MM, COM PARAFUSOS DE FIXACAO, SEM MOLDURA</v>
      </c>
      <c r="B59" s="205"/>
      <c r="C59" s="205"/>
      <c r="D59" s="122" t="str">
        <f>'PLANILHA orçamentária'!D71</f>
        <v>M2</v>
      </c>
      <c r="E59" s="206" t="s">
        <v>327</v>
      </c>
      <c r="F59" s="206"/>
      <c r="G59" s="206"/>
      <c r="H59" s="206"/>
      <c r="I59" s="164">
        <f>0.5*0.6*2</f>
        <v>0.6</v>
      </c>
      <c r="J59" s="165"/>
    </row>
    <row r="60" spans="1:10" ht="81" customHeight="1" x14ac:dyDescent="0.25">
      <c r="A60" s="205" t="str">
        <f>'PLANILHA orçamentária'!C72</f>
        <v xml:space="preserve">TANQUE DE POLIPROPILENO, CAPACIDADE 15 LITROS, INCLUSIVE ACESSÓRIOS DE FIXAÇÃO, VÁLVULA DE ESCOAMENTO DE PLÁSTICO(PVC) NA CORBRANCA,SIFÃO DE PLÁSTICO(PVC) TIPO COPO NA COR BRANCA,FORNECIMENTO E INSTALAÇÃO, EXCLUSIVE TORNEIRA
</v>
      </c>
      <c r="B60" s="205"/>
      <c r="C60" s="205"/>
      <c r="D60" s="122" t="str">
        <f>'PLANILHA orçamentária'!D72</f>
        <v>UN</v>
      </c>
      <c r="E60" s="206" t="s">
        <v>295</v>
      </c>
      <c r="F60" s="206"/>
      <c r="G60" s="206"/>
      <c r="H60" s="206"/>
      <c r="I60" s="164">
        <v>1</v>
      </c>
      <c r="J60" s="165"/>
    </row>
    <row r="61" spans="1:10" ht="29.25" customHeight="1" x14ac:dyDescent="0.25">
      <c r="A61" s="205" t="str">
        <f>'PLANILHA orçamentária'!C73</f>
        <v>CAIXA D´ÁGUA EM POLIETILENO, 1000 LITROS, COM ACESSÓRIOS</v>
      </c>
      <c r="B61" s="205"/>
      <c r="C61" s="205"/>
      <c r="D61" s="122" t="str">
        <f>'PLANILHA orçamentária'!D73</f>
        <v>UN</v>
      </c>
      <c r="E61" s="206" t="s">
        <v>295</v>
      </c>
      <c r="F61" s="206"/>
      <c r="G61" s="206"/>
      <c r="H61" s="206"/>
      <c r="I61" s="164">
        <f>1*1</f>
        <v>1</v>
      </c>
      <c r="J61" s="165"/>
    </row>
    <row r="62" spans="1:10" ht="30.75" customHeight="1" x14ac:dyDescent="0.25">
      <c r="A62" s="205" t="str">
        <f>'PLANILHA orçamentária'!C74</f>
        <v>TORNEIRA DE BOIA VAZAO TOTAL 1/2 COM BALAO PLASTICO - FORNECIMENTO E INSTALAÇÃO</v>
      </c>
      <c r="B62" s="205"/>
      <c r="C62" s="205"/>
      <c r="D62" s="122" t="str">
        <f>'PLANILHA orçamentária'!D74</f>
        <v>UN</v>
      </c>
      <c r="E62" s="206" t="s">
        <v>295</v>
      </c>
      <c r="F62" s="206"/>
      <c r="G62" s="206"/>
      <c r="H62" s="206"/>
      <c r="I62" s="164">
        <f>1.75*0.6+3.5*0.6+1.4*0.4+1.7*0.7</f>
        <v>4.9000000000000004</v>
      </c>
      <c r="J62" s="165"/>
    </row>
    <row r="63" spans="1:10" ht="48.75" customHeight="1" x14ac:dyDescent="0.25">
      <c r="A63" s="205" t="str">
        <f>'PLANILHA orçamentária'!C75</f>
        <v>CAIXA ALVENARIA 40 X 40 X 40 CM, TAMPA EM CONCRETOINSPEÇÃO/PASSAGEM, INCLUSIVE ESCAVAÇÃO, REATERRO E BOTA-FORA</v>
      </c>
      <c r="B63" s="205"/>
      <c r="C63" s="205"/>
      <c r="D63" s="122" t="str">
        <f>'PLANILHA orçamentária'!D75</f>
        <v>UN</v>
      </c>
      <c r="E63" s="206" t="s">
        <v>292</v>
      </c>
      <c r="F63" s="206"/>
      <c r="G63" s="206"/>
      <c r="H63" s="206"/>
      <c r="I63" s="164" t="s">
        <v>292</v>
      </c>
      <c r="J63" s="165"/>
    </row>
    <row r="64" spans="1:10" ht="60.75" customHeight="1" x14ac:dyDescent="0.25">
      <c r="A64" s="205" t="str">
        <f>'PLANILHA orçamentária'!C76</f>
        <v>CAIXA DE GORDURA SIMPLES (CAPACIDADE: 36 L), RETANGULAR, EM ALVENARIA COM BLOCOS DE CONCRETO, DIMENSÕES INTERNAS = 0,2X0,4 M, ALTURA INTERNA = 0,8 M. AF_05/2018</v>
      </c>
      <c r="B64" s="205"/>
      <c r="C64" s="205"/>
      <c r="D64" s="122" t="str">
        <f>'PLANILHA orçamentária'!D76</f>
        <v>UN</v>
      </c>
      <c r="E64" s="206" t="s">
        <v>295</v>
      </c>
      <c r="F64" s="206"/>
      <c r="G64" s="206"/>
      <c r="H64" s="206"/>
      <c r="I64" s="164">
        <f>1*1</f>
        <v>1</v>
      </c>
      <c r="J64" s="165"/>
    </row>
    <row r="65" spans="1:10" ht="56.25" customHeight="1" x14ac:dyDescent="0.25">
      <c r="A65" s="205" t="str">
        <f>'PLANILHA orçamentária'!C77</f>
        <v>TUBO PVC, SERIE NORMAL, ESGOTO PREDIAL, DN 100 MM, FORNECIDO E INSTALADO EM RAMAL DE DESCARGA OU RAMAL DE ESGOTO SANITÁRIO. AF_12/2014</v>
      </c>
      <c r="B65" s="205"/>
      <c r="C65" s="205"/>
      <c r="D65" s="122" t="str">
        <f>'PLANILHA orçamentária'!D77</f>
        <v>UN</v>
      </c>
      <c r="E65" s="206" t="s">
        <v>299</v>
      </c>
      <c r="F65" s="206"/>
      <c r="G65" s="206"/>
      <c r="H65" s="206"/>
      <c r="I65" s="164">
        <v>8</v>
      </c>
      <c r="J65" s="165"/>
    </row>
    <row r="66" spans="1:10" ht="81" customHeight="1" x14ac:dyDescent="0.25">
      <c r="A66" s="205" t="str">
        <f>'PLANILHA orçamentária'!C78</f>
        <v>BARRA DE APOIO EM AÇO INOX POLIDO RETA, DN 1.1/4" (31,75MM), PARA ACESSIBILIDADE (PMR/PCR), COMPRIMENTO 90CM, INSTALADO EM PAREDE, INCLUSIVE FORNECIMENTO, INSTALAÇÃO E ACESSÓRIOS PARA FIXAÇÃO</v>
      </c>
      <c r="B66" s="205"/>
      <c r="C66" s="205"/>
      <c r="D66" s="122" t="str">
        <f>'PLANILHA orçamentária'!D78</f>
        <v>UN</v>
      </c>
      <c r="E66" s="206" t="s">
        <v>293</v>
      </c>
      <c r="F66" s="206"/>
      <c r="G66" s="206"/>
      <c r="H66" s="206"/>
      <c r="I66" s="164">
        <v>2</v>
      </c>
      <c r="J66" s="165"/>
    </row>
    <row r="67" spans="1:10" ht="78.75" customHeight="1" x14ac:dyDescent="0.25">
      <c r="A67" s="205" t="str">
        <f>'PLANILHA orçamentária'!C79</f>
        <v>TANQUE SÉPTICO CIRCULAR, EM CONCRETO PRÉ-MOLDADO, DIÂMETRO INTERNO = 1,10 M, ALTURA INTERNA = 2,50 M, VOLUME ÚTIL: 2138,2 L (PARA 5 CONTRIBU
INTES). AF_05/2018</v>
      </c>
      <c r="B67" s="205"/>
      <c r="C67" s="205"/>
      <c r="D67" s="122" t="str">
        <f>'PLANILHA orçamentária'!D79</f>
        <v>UN</v>
      </c>
      <c r="E67" s="206" t="s">
        <v>295</v>
      </c>
      <c r="F67" s="206"/>
      <c r="G67" s="206"/>
      <c r="H67" s="206"/>
      <c r="I67" s="164">
        <v>1</v>
      </c>
      <c r="J67" s="165"/>
    </row>
    <row r="68" spans="1:10" x14ac:dyDescent="0.25">
      <c r="A68" s="200" t="str">
        <f>'PLANILHA orçamentária'!C81</f>
        <v>INSTALAÇÕES ELÉTRICAS</v>
      </c>
      <c r="B68" s="201"/>
      <c r="C68" s="201"/>
      <c r="D68" s="201"/>
      <c r="E68" s="201"/>
      <c r="F68" s="201"/>
      <c r="G68" s="201"/>
      <c r="H68" s="201"/>
      <c r="I68" s="201"/>
      <c r="J68" s="202"/>
    </row>
    <row r="69" spans="1:10" ht="46.5" customHeight="1" x14ac:dyDescent="0.25">
      <c r="A69" s="159" t="str">
        <f>'PLANILHA orçamentária'!C82</f>
        <v>CABO DE COBRE FLEXÍVEL ISOLADO, 10 MM², ANTI-CHAMA 450/750 V, PARA DISTRIBUIÇÃO - FORNECIMENTO E INSTALAÇÃO. AF_12/2015</v>
      </c>
      <c r="B69" s="160"/>
      <c r="C69" s="160"/>
      <c r="D69" s="119" t="str">
        <f>'PLANILHA orçamentária'!D82</f>
        <v>M</v>
      </c>
      <c r="E69" s="203" t="s">
        <v>328</v>
      </c>
      <c r="F69" s="162"/>
      <c r="G69" s="162"/>
      <c r="H69" s="163"/>
      <c r="I69" s="204">
        <f>16*3</f>
        <v>48</v>
      </c>
      <c r="J69" s="204"/>
    </row>
    <row r="70" spans="1:10" ht="40.5" customHeight="1" x14ac:dyDescent="0.25">
      <c r="A70" s="159" t="str">
        <f>'PLANILHA orçamentária'!C83</f>
        <v>PONTO DE LUZ EMBUTIDO, INCLUINDO ELETRODUTO DE PVC RÍGIDO E CAIXA COM ESPELHO (POR UNIDADE)</v>
      </c>
      <c r="B70" s="160"/>
      <c r="C70" s="160"/>
      <c r="D70" s="119" t="str">
        <f>'PLANILHA orçamentária'!D83</f>
        <v>PT</v>
      </c>
      <c r="E70" s="161" t="s">
        <v>329</v>
      </c>
      <c r="F70" s="162"/>
      <c r="G70" s="162"/>
      <c r="H70" s="163"/>
      <c r="I70" s="164">
        <v>31</v>
      </c>
      <c r="J70" s="165"/>
    </row>
    <row r="71" spans="1:10" ht="35.25" customHeight="1" x14ac:dyDescent="0.25">
      <c r="A71" s="159" t="str">
        <f>'PLANILHA orçamentária'!C84</f>
        <v>PONTO DE TOMADA DE EMBUTIR, INCLUINDO ELETRODUTO DE PVC RÍGIDO E CAIXA COM ESPELHO</v>
      </c>
      <c r="B71" s="160"/>
      <c r="C71" s="160"/>
      <c r="D71" s="119" t="str">
        <f>'PLANILHA orçamentária'!D84</f>
        <v>PT</v>
      </c>
      <c r="E71" s="161" t="s">
        <v>296</v>
      </c>
      <c r="F71" s="162"/>
      <c r="G71" s="162"/>
      <c r="H71" s="163"/>
      <c r="I71" s="164">
        <f>1*19</f>
        <v>19</v>
      </c>
      <c r="J71" s="165"/>
    </row>
    <row r="72" spans="1:10" ht="31.5" customHeight="1" x14ac:dyDescent="0.25">
      <c r="A72" s="159" t="str">
        <f>'PLANILHA orçamentária'!C85</f>
        <v>PONTO DE INTERRUPTOR, INCLUINDO ELETRODUTO DE PVC RÍGIDO E CAIXA COM ESPELHO</v>
      </c>
      <c r="B72" s="160"/>
      <c r="C72" s="160"/>
      <c r="D72" s="119" t="str">
        <f>'PLANILHA orçamentária'!D85</f>
        <v>PT</v>
      </c>
      <c r="E72" s="161" t="s">
        <v>299</v>
      </c>
      <c r="F72" s="162"/>
      <c r="G72" s="162"/>
      <c r="H72" s="163"/>
      <c r="I72" s="164">
        <v>8</v>
      </c>
      <c r="J72" s="165"/>
    </row>
    <row r="73" spans="1:10" ht="45" customHeight="1" x14ac:dyDescent="0.25">
      <c r="A73" s="159" t="str">
        <f>'PLANILHA orçamentária'!C86</f>
        <v>PONTO SECO PARA INSTALAÇÃO DE SOM, TV, ALARME E LÓGICA, INCLUINDO ELETRODUTO DE PVC FLEXÍVEL CORRUGADO E CAIXA COM ESPELHO</v>
      </c>
      <c r="B73" s="160"/>
      <c r="C73" s="160"/>
      <c r="D73" s="119" t="str">
        <f>'PLANILHA orçamentária'!D86</f>
        <v>PT</v>
      </c>
      <c r="E73" s="161" t="s">
        <v>293</v>
      </c>
      <c r="F73" s="162"/>
      <c r="G73" s="162"/>
      <c r="H73" s="163"/>
      <c r="I73" s="164">
        <v>2</v>
      </c>
      <c r="J73" s="165"/>
    </row>
    <row r="74" spans="1:10" ht="65.25" customHeight="1" x14ac:dyDescent="0.25">
      <c r="A74" s="159" t="str">
        <f>'PLANILHA orçamentária'!C87</f>
        <v>QUADRO DE DISTRIBUICAO DE ENERGIA DE EMBUTIR, EM CHAPA METALICA, PARA 6 DISJUNTORES TERMOMAGNETICOS MONOPOLARES SEM BARRAMENTO FORNECIMENTO E INSTALACAO</v>
      </c>
      <c r="B74" s="160"/>
      <c r="C74" s="160"/>
      <c r="D74" s="119" t="str">
        <f>'PLANILHA orçamentária'!D87</f>
        <v>UN</v>
      </c>
      <c r="E74" s="161" t="s">
        <v>295</v>
      </c>
      <c r="F74" s="162"/>
      <c r="G74" s="162"/>
      <c r="H74" s="163"/>
      <c r="I74" s="164">
        <f>1*1</f>
        <v>1</v>
      </c>
      <c r="J74" s="165"/>
    </row>
    <row r="75" spans="1:10" ht="30" customHeight="1" x14ac:dyDescent="0.25">
      <c r="A75" s="159" t="str">
        <f>'PLANILHA orçamentária'!C88</f>
        <v>CAIXA DE PASSAGEM 20X20X25 FUNDO BRITA COM TAMPA</v>
      </c>
      <c r="B75" s="160"/>
      <c r="C75" s="160"/>
      <c r="D75" s="119" t="str">
        <f>'PLANILHA orçamentária'!D88</f>
        <v>UN</v>
      </c>
      <c r="E75" s="161" t="s">
        <v>292</v>
      </c>
      <c r="F75" s="162"/>
      <c r="G75" s="162"/>
      <c r="H75" s="163"/>
      <c r="I75" s="164">
        <v>3</v>
      </c>
      <c r="J75" s="165"/>
    </row>
    <row r="76" spans="1:10" ht="45" customHeight="1" x14ac:dyDescent="0.25">
      <c r="A76" s="159" t="str">
        <f>'PLANILHA orçamentária'!C89</f>
        <v>DISJUNTOR TERMOMAGNETICO MONOPOLAR PADRAO NEMA (AMERICANO) 10 A 30A 240V, FORNECIMENTO E INSTALACAO</v>
      </c>
      <c r="B76" s="160"/>
      <c r="C76" s="160"/>
      <c r="D76" s="119" t="str">
        <f>'PLANILHA orçamentária'!D89</f>
        <v>UN</v>
      </c>
      <c r="E76" s="161" t="s">
        <v>331</v>
      </c>
      <c r="F76" s="162"/>
      <c r="G76" s="162"/>
      <c r="H76" s="163"/>
      <c r="I76" s="164">
        <v>3</v>
      </c>
      <c r="J76" s="165"/>
    </row>
    <row r="77" spans="1:10" ht="44.25" customHeight="1" x14ac:dyDescent="0.25">
      <c r="A77" s="159" t="str">
        <f>'PLANILHA orçamentária'!C90</f>
        <v>DISJUNTOR TERMOMAGNETICO BIPOLAR PADRAO NEMA (AMERICANO) 10 A 50A 240V, FORNECIMENTO E INSTALACAO</v>
      </c>
      <c r="B77" s="160"/>
      <c r="C77" s="160"/>
      <c r="D77" s="119" t="str">
        <f>'PLANILHA orçamentária'!D90</f>
        <v>UN</v>
      </c>
      <c r="E77" s="161" t="s">
        <v>295</v>
      </c>
      <c r="F77" s="162"/>
      <c r="G77" s="162"/>
      <c r="H77" s="163"/>
      <c r="I77" s="164">
        <v>1</v>
      </c>
      <c r="J77" s="165"/>
    </row>
    <row r="78" spans="1:10" ht="41.25" customHeight="1" x14ac:dyDescent="0.25">
      <c r="A78" s="159" t="str">
        <f>'PLANILHA orçamentária'!C91</f>
        <v>LUMINÁRIA TIPO PLAFON REDONDO COM VIDRO FOSCO, DE SOBREPOR, COM 2 LÂMPADAS DE 15 W - FORNECIMENTO E INSTALAÇÃO. AF_11/2017</v>
      </c>
      <c r="B78" s="160"/>
      <c r="C78" s="160"/>
      <c r="D78" s="119" t="str">
        <f>'PLANILHA orçamentária'!D91</f>
        <v>UN</v>
      </c>
      <c r="E78" s="161" t="s">
        <v>332</v>
      </c>
      <c r="F78" s="162"/>
      <c r="G78" s="162"/>
      <c r="H78" s="163"/>
      <c r="I78" s="164">
        <v>25</v>
      </c>
      <c r="J78" s="165"/>
    </row>
    <row r="79" spans="1:10" ht="33" customHeight="1" x14ac:dyDescent="0.25">
      <c r="A79" s="159" t="str">
        <f>'PLANILHA orçamentária'!C92</f>
        <v>PADRÃO CEMIG AÉREO TIPO H2, 5,1 &lt;= CARGA INSTALADA &lt;= 10 KW, BIFÁSICO</v>
      </c>
      <c r="B79" s="160"/>
      <c r="C79" s="160"/>
      <c r="D79" s="119" t="str">
        <f>'PLANILHA orçamentária'!D92</f>
        <v>UN</v>
      </c>
      <c r="E79" s="161" t="s">
        <v>295</v>
      </c>
      <c r="F79" s="162"/>
      <c r="G79" s="162"/>
      <c r="H79" s="163"/>
      <c r="I79" s="164">
        <v>1</v>
      </c>
      <c r="J79" s="165"/>
    </row>
    <row r="80" spans="1:10" ht="46.5" customHeight="1" x14ac:dyDescent="0.25">
      <c r="A80" s="159" t="str">
        <f>'PLANILHA orçamentária'!C93</f>
        <v>LUMINÁRIA ARANDELA TIPO TARTARUGA, COM GRADE, PARA 1 LÂMPADA DE 15 W - FORNECIMENTO E INSTALAÇÃO. AF_11/201</v>
      </c>
      <c r="B80" s="160"/>
      <c r="C80" s="160"/>
      <c r="D80" s="119" t="str">
        <f>'PLANILHA orçamentária'!D93</f>
        <v>UN</v>
      </c>
      <c r="E80" s="161" t="s">
        <v>292</v>
      </c>
      <c r="F80" s="162"/>
      <c r="G80" s="162"/>
      <c r="H80" s="163"/>
      <c r="I80" s="164">
        <f>1*3</f>
        <v>3</v>
      </c>
      <c r="J80" s="165"/>
    </row>
    <row r="81" spans="1:10" x14ac:dyDescent="0.25">
      <c r="A81" s="155" t="str">
        <f>'[1]Planilia Atualizada'!D88</f>
        <v>REVESTIMENTOS</v>
      </c>
      <c r="B81" s="156"/>
      <c r="C81" s="156"/>
      <c r="D81" s="156"/>
      <c r="E81" s="156"/>
      <c r="F81" s="156"/>
      <c r="G81" s="156"/>
      <c r="H81" s="156"/>
      <c r="I81" s="156"/>
      <c r="J81" s="157"/>
    </row>
    <row r="82" spans="1:10" ht="63" customHeight="1" x14ac:dyDescent="0.25">
      <c r="A82" s="158" t="str">
        <f>'PLANILHA orçamentária'!C96</f>
        <v>CHAPISCO APLICADO EM ALVENARIAS E ESTRUTURAS DE CONCRETO INTERNAS, COM COLHER DE PEDREIRO.  ARGAMASSA TRAÇO 1:3 COM PREPARO EM BETONEIRA 400 L. AF_06/2014</v>
      </c>
      <c r="B82" s="158"/>
      <c r="C82" s="158"/>
      <c r="D82" s="121" t="str">
        <f>'PLANILHA orçamentária'!D96</f>
        <v>M2</v>
      </c>
      <c r="E82" s="198" t="s">
        <v>333</v>
      </c>
      <c r="F82" s="198"/>
      <c r="G82" s="198"/>
      <c r="H82" s="198"/>
      <c r="I82" s="199">
        <f>255*2+83.26</f>
        <v>593.26</v>
      </c>
      <c r="J82" s="199"/>
    </row>
    <row r="83" spans="1:10" ht="84" customHeight="1" x14ac:dyDescent="0.25">
      <c r="A83" s="158" t="str">
        <f>'PLANILHA orçamentária'!C97</f>
        <v>MASSA ÚNICA, PARA RECEBIMENTO DE PINTURA, EM ARGAMASSA TRAÇO 1:2:8, PREPARO MECÂNICO COM BETONEIRA 400L, APLICADA MANUALMENTE EM FACES INTERNAS DE PAREDES, ESPESSURA DE 20MM, COM EXECUÇÃO DE TALISCAS. AF_06/2014</v>
      </c>
      <c r="B83" s="158"/>
      <c r="C83" s="158"/>
      <c r="D83" s="133" t="str">
        <f>'PLANILHA orçamentária'!D97</f>
        <v>M2</v>
      </c>
      <c r="E83" s="198" t="s">
        <v>333</v>
      </c>
      <c r="F83" s="198"/>
      <c r="G83" s="198"/>
      <c r="H83" s="198"/>
      <c r="I83" s="199">
        <f t="shared" ref="I83" si="0">255*2+83.26</f>
        <v>593.26</v>
      </c>
      <c r="J83" s="199"/>
    </row>
    <row r="84" spans="1:10" ht="67.5" customHeight="1" x14ac:dyDescent="0.25">
      <c r="A84" s="158" t="str">
        <f>'PLANILHA orçamentária'!C98</f>
        <v>REVESTIMENTO CERÂMICO PARA PAREDES INTERNAS COM PLACAS TIPO ESMALTADA EXTRA DE DIMENSÕES 33X45 CM APLICADAS EM AMBIENTES DE ÁREA MAIOR QUE 5 M² NA ALTURA INTEIRA DAS PAREDES. AF_06/2014</v>
      </c>
      <c r="B84" s="158"/>
      <c r="C84" s="158"/>
      <c r="D84" s="133" t="str">
        <f>'PLANILHA orçamentária'!D98</f>
        <v>M2</v>
      </c>
      <c r="E84" s="198" t="s">
        <v>334</v>
      </c>
      <c r="F84" s="198"/>
      <c r="G84" s="198"/>
      <c r="H84" s="198"/>
      <c r="I84" s="199">
        <f>(6.61+0.5*2+8.9)*2.1-((0.8+0.7)*2.1*2)</f>
        <v>28.371000000000006</v>
      </c>
      <c r="J84" s="199"/>
    </row>
    <row r="85" spans="1:10" x14ac:dyDescent="0.25">
      <c r="A85" s="176" t="str">
        <f>'PLANILHA orçamentária'!C100</f>
        <v>PISOS</v>
      </c>
      <c r="B85" s="177"/>
      <c r="C85" s="177"/>
      <c r="D85" s="177"/>
      <c r="E85" s="177"/>
      <c r="F85" s="177"/>
      <c r="G85" s="177"/>
      <c r="H85" s="177"/>
      <c r="I85" s="177"/>
      <c r="J85" s="191"/>
    </row>
    <row r="86" spans="1:10" ht="41.25" customHeight="1" x14ac:dyDescent="0.25">
      <c r="A86" s="178" t="str">
        <f>'PLANILHA orçamentária'!C101</f>
        <v>CONTRAPISO DESEMPENADO COM ARGAMASSA, TRAÇO 1:3 (CIMENTO E AREIA), ESP. 20MM</v>
      </c>
      <c r="B86" s="179"/>
      <c r="C86" s="180"/>
      <c r="D86" s="121" t="str">
        <f>'PLANILHA orçamentária'!D101</f>
        <v>M2</v>
      </c>
      <c r="E86" s="193" t="s">
        <v>306</v>
      </c>
      <c r="F86" s="194"/>
      <c r="G86" s="194"/>
      <c r="H86" s="195"/>
      <c r="I86" s="193">
        <f>7.5+1.3+4.62+2.69+1.56+32.03+33.56</f>
        <v>83.26</v>
      </c>
      <c r="J86" s="195"/>
    </row>
    <row r="87" spans="1:10" ht="51.75" customHeight="1" x14ac:dyDescent="0.25">
      <c r="A87" s="178" t="str">
        <f>'PLANILHA orçamentária'!C102</f>
        <v>REVESTIMENTO CERÂMICO PARA PISO COM PLACAS TIPO ESMALTADA EXTRA DE DIMENSÕES 45X45 CM APLICADA EM AMBIENTES DE ÁREA ENTRE 5 M2 E 10 M2. AF_06/2014</v>
      </c>
      <c r="B87" s="179"/>
      <c r="C87" s="180"/>
      <c r="D87" s="133" t="str">
        <f>'PLANILHA orçamentária'!D102</f>
        <v>M2</v>
      </c>
      <c r="E87" s="193" t="s">
        <v>335</v>
      </c>
      <c r="F87" s="194"/>
      <c r="G87" s="194"/>
      <c r="H87" s="195"/>
      <c r="I87" s="196">
        <f>(7.5+1.3+4.62+2.69+1.56+32.03+33.57)*1.1</f>
        <v>91.597000000000023</v>
      </c>
      <c r="J87" s="197"/>
    </row>
    <row r="88" spans="1:10" ht="29.25" customHeight="1" x14ac:dyDescent="0.25">
      <c r="A88" s="178" t="str">
        <f>'PLANILHA orçamentária'!C103</f>
        <v>PASSEIOS DE CONCRETO E = 6 CM, FCK = 10 MPA, JUNTA SECA</v>
      </c>
      <c r="B88" s="179"/>
      <c r="C88" s="180"/>
      <c r="D88" s="133" t="str">
        <f>'PLANILHA orçamentária'!D103</f>
        <v>M2</v>
      </c>
      <c r="E88" s="193" t="s">
        <v>336</v>
      </c>
      <c r="F88" s="194"/>
      <c r="G88" s="194"/>
      <c r="H88" s="195"/>
      <c r="I88" s="193">
        <f>12*2+2.25*4</f>
        <v>33</v>
      </c>
      <c r="J88" s="195"/>
    </row>
    <row r="89" spans="1:10" ht="66" customHeight="1" x14ac:dyDescent="0.25">
      <c r="A89" s="178" t="str">
        <f>'PLANILHA orçamentária'!C104</f>
        <v>PISO PODOTÁTIL DE CONCRETO, DIRECIONAL, APLICADO EM PISO (20X20CM) COM JUNTA SECA, COR VERMELHO/AMARELO, ASSENTAMENTO COM ARGAMASSA INDUSTRIALIZADA, INCLUSIVE FORNECIMENTO E INSTALAÇÃO</v>
      </c>
      <c r="B89" s="179"/>
      <c r="C89" s="180"/>
      <c r="D89" s="133" t="str">
        <f>'PLANILHA orçamentária'!D104</f>
        <v>M2</v>
      </c>
      <c r="E89" s="193" t="s">
        <v>337</v>
      </c>
      <c r="F89" s="194"/>
      <c r="G89" s="194"/>
      <c r="H89" s="195"/>
      <c r="I89" s="193">
        <f>1.8*0.6+(5.7+3.3)*0.2</f>
        <v>2.88</v>
      </c>
      <c r="J89" s="195"/>
    </row>
    <row r="90" spans="1:10" x14ac:dyDescent="0.25">
      <c r="A90" s="176" t="str">
        <f>'[1]Planilia Atualizada'!D100</f>
        <v>PINTURAS</v>
      </c>
      <c r="B90" s="177"/>
      <c r="C90" s="177"/>
      <c r="D90" s="177"/>
      <c r="E90" s="177"/>
      <c r="F90" s="177"/>
      <c r="G90" s="177"/>
      <c r="H90" s="177"/>
      <c r="I90" s="177"/>
      <c r="J90" s="191"/>
    </row>
    <row r="91" spans="1:10" ht="30" customHeight="1" x14ac:dyDescent="0.25">
      <c r="A91" s="178" t="str">
        <f>'PLANILHA orçamentária'!C107</f>
        <v>APLICAÇÃO DE FUNDO SELADOR ACRÍLICO EM PAREDES, UMA DEMÃO. AF_06/2014</v>
      </c>
      <c r="B91" s="179"/>
      <c r="C91" s="180"/>
      <c r="D91" s="121" t="str">
        <f>'PLANILHA orçamentária'!D107</f>
        <v>M2</v>
      </c>
      <c r="E91" s="193" t="s">
        <v>338</v>
      </c>
      <c r="F91" s="194"/>
      <c r="G91" s="194"/>
      <c r="H91" s="195"/>
      <c r="I91" s="193">
        <f>593.26-28.37</f>
        <v>564.89</v>
      </c>
      <c r="J91" s="195"/>
    </row>
    <row r="92" spans="1:10" ht="39.75" customHeight="1" x14ac:dyDescent="0.25">
      <c r="A92" s="178" t="str">
        <f>'PLANILHA orçamentária'!C108</f>
        <v>APLICAÇÃO MANUAL DE PINTURA COM TINTA LÁTEX ACRÍLICA EM PAREDES, DUAS DEMÃOS. AF_06/2014</v>
      </c>
      <c r="B92" s="179"/>
      <c r="C92" s="180"/>
      <c r="D92" s="133" t="str">
        <f>'PLANILHA orçamentária'!D108</f>
        <v>M2</v>
      </c>
      <c r="E92" s="193" t="s">
        <v>338</v>
      </c>
      <c r="F92" s="194"/>
      <c r="G92" s="194"/>
      <c r="H92" s="195"/>
      <c r="I92" s="193">
        <f>593.26-28.37</f>
        <v>564.89</v>
      </c>
      <c r="J92" s="195"/>
    </row>
    <row r="93" spans="1:10" ht="36.75" customHeight="1" x14ac:dyDescent="0.25">
      <c r="A93" s="178" t="str">
        <f>'PLANILHA orçamentária'!C109</f>
        <v xml:space="preserve">PINTURA ESMALTE FOSCO, DUAS DEMAOS, </v>
      </c>
      <c r="B93" s="179"/>
      <c r="C93" s="180"/>
      <c r="D93" s="133" t="str">
        <f>'PLANILHA orçamentária'!D109</f>
        <v>M2</v>
      </c>
      <c r="E93" s="193" t="s">
        <v>298</v>
      </c>
      <c r="F93" s="194"/>
      <c r="G93" s="194"/>
      <c r="H93" s="195"/>
      <c r="I93" s="193">
        <f>2*(8*0.8*2.1)</f>
        <v>26.880000000000003</v>
      </c>
      <c r="J93" s="195"/>
    </row>
    <row r="94" spans="1:10" x14ac:dyDescent="0.25">
      <c r="A94" s="176" t="str">
        <f>'PLANILHA orçamentária'!C111</f>
        <v>SISTEMA DE PROTEÇÃO CONTRA INCÊNDIO</v>
      </c>
      <c r="B94" s="177"/>
      <c r="C94" s="177"/>
      <c r="D94" s="177"/>
      <c r="E94" s="177"/>
      <c r="F94" s="177"/>
      <c r="G94" s="177"/>
      <c r="H94" s="177"/>
      <c r="I94" s="177"/>
      <c r="J94" s="191"/>
    </row>
    <row r="95" spans="1:10" ht="27.75" customHeight="1" x14ac:dyDescent="0.25">
      <c r="A95" s="178" t="str">
        <f>'PLANILHA orçamentária'!C112</f>
        <v>EXTINTOR INCENDIO TP PO QUIMICO 6KG - FORNECIMENTO E INSTALACAO</v>
      </c>
      <c r="B95" s="179"/>
      <c r="C95" s="180"/>
      <c r="D95" s="121" t="str">
        <f>'PLANILHA orçamentária'!D112</f>
        <v>UN</v>
      </c>
      <c r="E95" s="193" t="s">
        <v>295</v>
      </c>
      <c r="F95" s="194"/>
      <c r="G95" s="194"/>
      <c r="H95" s="195"/>
      <c r="I95" s="193">
        <v>1</v>
      </c>
      <c r="J95" s="195"/>
    </row>
    <row r="96" spans="1:10" ht="28.5" customHeight="1" x14ac:dyDescent="0.25">
      <c r="A96" s="178" t="str">
        <f>'PLANILHA orçamentária'!C113</f>
        <v>LUMINÁRIA DE EMERGÊNCIA AUTÔNOMA IE-16 COM LÂMPADA DE 8 W</v>
      </c>
      <c r="B96" s="179"/>
      <c r="C96" s="180"/>
      <c r="D96" s="133" t="str">
        <f>'PLANILHA orçamentária'!D113</f>
        <v>UN</v>
      </c>
      <c r="E96" s="181" t="s">
        <v>295</v>
      </c>
      <c r="F96" s="192"/>
      <c r="G96" s="192"/>
      <c r="H96" s="185"/>
      <c r="I96" s="184">
        <v>1</v>
      </c>
      <c r="J96" s="185"/>
    </row>
    <row r="97" spans="1:10" ht="26.25" customHeight="1" x14ac:dyDescent="0.25">
      <c r="A97" s="178" t="str">
        <f>'PLANILHA orçamentária'!C114</f>
        <v>PLACA FOTOLUMINESCENTE, CONFORME PROJETO.</v>
      </c>
      <c r="B97" s="179"/>
      <c r="C97" s="180"/>
      <c r="D97" s="133" t="str">
        <f>'PLANILHA orçamentária'!D114</f>
        <v>UN</v>
      </c>
      <c r="E97" s="181" t="s">
        <v>294</v>
      </c>
      <c r="F97" s="182"/>
      <c r="G97" s="182"/>
      <c r="H97" s="183"/>
      <c r="I97" s="184">
        <v>6</v>
      </c>
      <c r="J97" s="185"/>
    </row>
    <row r="98" spans="1:10" x14ac:dyDescent="0.25">
      <c r="A98" s="176" t="str">
        <f>'PLANILHA orçamentária'!C116</f>
        <v>MURO EXTERNO</v>
      </c>
      <c r="B98" s="177"/>
      <c r="C98" s="177"/>
      <c r="D98" s="177"/>
      <c r="E98" s="177"/>
      <c r="F98" s="177"/>
      <c r="G98" s="177"/>
      <c r="H98" s="177"/>
      <c r="I98" s="177"/>
      <c r="J98" s="191"/>
    </row>
    <row r="99" spans="1:10" ht="54" customHeight="1" x14ac:dyDescent="0.25">
      <c r="A99" s="178" t="str">
        <f>'PLANILHA orçamentária'!C117</f>
        <v>MURO DIVISÓRIO BLOCO CERÂMICO REVESTIDO E PINTADO E = 15 CM, H = 2,20 M, INCLUSIVE SAPATA DE CONCRETO ARMADO FCK = 15 MPA, 50 X 55 CM</v>
      </c>
      <c r="B99" s="179"/>
      <c r="C99" s="180"/>
      <c r="D99" s="121" t="str">
        <f>'PLANILHA orçamentária'!D117</f>
        <v>M</v>
      </c>
      <c r="E99" s="181" t="s">
        <v>341</v>
      </c>
      <c r="F99" s="182"/>
      <c r="G99" s="182"/>
      <c r="H99" s="183"/>
      <c r="I99" s="184">
        <v>5.9</v>
      </c>
      <c r="J99" s="185"/>
    </row>
    <row r="100" spans="1:10" ht="15" customHeight="1" x14ac:dyDescent="0.25">
      <c r="A100" s="178" t="str">
        <f>'PLANILHA orçamentária'!C118</f>
        <v>PLANTIO DE GRAMA ESMERALDA</v>
      </c>
      <c r="B100" s="179"/>
      <c r="C100" s="180"/>
      <c r="D100" s="121" t="str">
        <f>'[1]Planilia Atualizada'!E112</f>
        <v>M2</v>
      </c>
      <c r="E100" s="181">
        <v>6</v>
      </c>
      <c r="F100" s="182"/>
      <c r="G100" s="182"/>
      <c r="H100" s="183"/>
      <c r="I100" s="184">
        <v>6</v>
      </c>
      <c r="J100" s="185"/>
    </row>
    <row r="101" spans="1:10" ht="36" customHeight="1" x14ac:dyDescent="0.25">
      <c r="A101" s="178" t="str">
        <f>'PLANILHA orçamentária'!C119</f>
        <v>FORNECIMENTO DE PALMEIRA ARECA LUTESCENS</v>
      </c>
      <c r="B101" s="179"/>
      <c r="C101" s="180"/>
      <c r="D101" s="121" t="str">
        <f>'[1]Planilia Atualizada'!E113</f>
        <v>M3</v>
      </c>
      <c r="E101" s="181">
        <v>6</v>
      </c>
      <c r="F101" s="182"/>
      <c r="G101" s="182"/>
      <c r="H101" s="183"/>
      <c r="I101" s="184">
        <v>6</v>
      </c>
      <c r="J101" s="185"/>
    </row>
    <row r="102" spans="1:10" ht="54.75" customHeight="1" x14ac:dyDescent="0.25">
      <c r="A102" s="178" t="str">
        <f>'PLANILHA orçamentária'!C120</f>
        <v>PLANTIO E PREPARO DE COVAS DE ARBUSTOS ORNAMENTAIS EM GERAL, EXCETO FORNECIMENTO DAS MUDAS</v>
      </c>
      <c r="B102" s="179"/>
      <c r="C102" s="180"/>
      <c r="D102" s="121" t="str">
        <f>'[1]Planilia Atualizada'!E114</f>
        <v>M3</v>
      </c>
      <c r="E102" s="181" t="s">
        <v>297</v>
      </c>
      <c r="F102" s="182"/>
      <c r="G102" s="182"/>
      <c r="H102" s="183"/>
      <c r="I102" s="184">
        <v>10</v>
      </c>
      <c r="J102" s="185"/>
    </row>
    <row r="103" spans="1:10" x14ac:dyDescent="0.25">
      <c r="A103" s="176" t="str">
        <f>'PLANILHA orçamentária'!C122</f>
        <v>SERVIÇOS COMPLEMENTARES</v>
      </c>
      <c r="B103" s="177"/>
      <c r="C103" s="177"/>
      <c r="D103" s="177"/>
      <c r="E103" s="177"/>
      <c r="F103" s="177"/>
      <c r="G103" s="177"/>
      <c r="H103" s="177"/>
      <c r="I103" s="177"/>
      <c r="J103" s="123"/>
    </row>
    <row r="104" spans="1:10" x14ac:dyDescent="0.25">
      <c r="A104" s="178" t="str">
        <f>'PLANILHA orçamentária'!C123</f>
        <v>LIMPEZA FINAL PARA ENTREGA DA OBRA</v>
      </c>
      <c r="B104" s="179"/>
      <c r="C104" s="180"/>
      <c r="D104" s="124"/>
      <c r="E104" s="181" t="s">
        <v>300</v>
      </c>
      <c r="F104" s="182"/>
      <c r="G104" s="182"/>
      <c r="H104" s="183"/>
      <c r="I104" s="184">
        <v>91.74</v>
      </c>
      <c r="J104" s="185"/>
    </row>
    <row r="105" spans="1:10" x14ac:dyDescent="0.25">
      <c r="A105" s="186"/>
      <c r="B105" s="187"/>
      <c r="C105" s="188"/>
      <c r="D105" s="119"/>
      <c r="E105" s="189"/>
      <c r="F105" s="190"/>
      <c r="G105" s="190"/>
      <c r="H105" s="165"/>
      <c r="I105" s="164"/>
      <c r="J105" s="165"/>
    </row>
    <row r="106" spans="1:10" x14ac:dyDescent="0.25">
      <c r="A106" s="186"/>
      <c r="B106" s="187"/>
      <c r="C106" s="188"/>
      <c r="D106" s="119"/>
      <c r="E106" s="170"/>
      <c r="F106" s="171"/>
      <c r="G106" s="171"/>
      <c r="H106" s="172"/>
      <c r="I106" s="170"/>
      <c r="J106" s="172"/>
    </row>
    <row r="107" spans="1:10" x14ac:dyDescent="0.25">
      <c r="A107" s="125"/>
      <c r="B107" s="126"/>
      <c r="C107" s="126"/>
      <c r="D107" s="126"/>
      <c r="E107" s="126"/>
      <c r="F107" s="126"/>
      <c r="G107" s="126"/>
      <c r="H107" s="126"/>
      <c r="I107" s="126"/>
      <c r="J107" s="127"/>
    </row>
    <row r="108" spans="1:10" x14ac:dyDescent="0.25">
      <c r="A108" s="128" t="str">
        <f>'PLANILHA orçamentária'!A127</f>
        <v>NOVORIZONTE-MG, 25/06/2020</v>
      </c>
      <c r="J108" s="129"/>
    </row>
    <row r="109" spans="1:10" x14ac:dyDescent="0.25">
      <c r="A109" s="128"/>
      <c r="J109" s="129"/>
    </row>
    <row r="110" spans="1:10" x14ac:dyDescent="0.25">
      <c r="A110" s="128"/>
      <c r="E110" s="174" t="s">
        <v>301</v>
      </c>
      <c r="F110" s="174"/>
      <c r="G110" s="174"/>
      <c r="H110" s="174"/>
      <c r="I110" s="174"/>
      <c r="J110" s="129"/>
    </row>
    <row r="111" spans="1:10" x14ac:dyDescent="0.25">
      <c r="A111" s="130"/>
      <c r="B111" s="131"/>
      <c r="C111" s="131"/>
      <c r="D111" s="131"/>
      <c r="E111" s="175" t="s">
        <v>302</v>
      </c>
      <c r="F111" s="175"/>
      <c r="G111" s="175"/>
      <c r="H111" s="175"/>
      <c r="I111" s="175"/>
      <c r="J111" s="132"/>
    </row>
  </sheetData>
  <mergeCells count="288">
    <mergeCell ref="A1:J1"/>
    <mergeCell ref="A2:J2"/>
    <mergeCell ref="A3:C3"/>
    <mergeCell ref="E3:H3"/>
    <mergeCell ref="I3:J3"/>
    <mergeCell ref="A7:C7"/>
    <mergeCell ref="E7:H7"/>
    <mergeCell ref="I7:J7"/>
    <mergeCell ref="A8:C8"/>
    <mergeCell ref="E8:H8"/>
    <mergeCell ref="I8:J8"/>
    <mergeCell ref="A4:C4"/>
    <mergeCell ref="E4:H4"/>
    <mergeCell ref="I4:J4"/>
    <mergeCell ref="A5:J5"/>
    <mergeCell ref="A6:C6"/>
    <mergeCell ref="E6:H6"/>
    <mergeCell ref="I6:J6"/>
    <mergeCell ref="A12:C12"/>
    <mergeCell ref="E12:H12"/>
    <mergeCell ref="I12:J12"/>
    <mergeCell ref="A13:C13"/>
    <mergeCell ref="E13:H13"/>
    <mergeCell ref="I13:J13"/>
    <mergeCell ref="A9:C9"/>
    <mergeCell ref="E9:H9"/>
    <mergeCell ref="I9:J9"/>
    <mergeCell ref="A10:J10"/>
    <mergeCell ref="A11:C11"/>
    <mergeCell ref="E11:H11"/>
    <mergeCell ref="I11:J11"/>
    <mergeCell ref="A16:C16"/>
    <mergeCell ref="E16:H16"/>
    <mergeCell ref="I16:J16"/>
    <mergeCell ref="A17:J17"/>
    <mergeCell ref="A18:C18"/>
    <mergeCell ref="E18:H18"/>
    <mergeCell ref="I18:J18"/>
    <mergeCell ref="A14:C14"/>
    <mergeCell ref="E14:H14"/>
    <mergeCell ref="I14:J14"/>
    <mergeCell ref="A15:C15"/>
    <mergeCell ref="E15:H15"/>
    <mergeCell ref="I15:J15"/>
    <mergeCell ref="A21:C21"/>
    <mergeCell ref="E21:H21"/>
    <mergeCell ref="I21:J21"/>
    <mergeCell ref="A22:C22"/>
    <mergeCell ref="E22:H22"/>
    <mergeCell ref="I22:J22"/>
    <mergeCell ref="A19:C19"/>
    <mergeCell ref="E19:H19"/>
    <mergeCell ref="I19:J19"/>
    <mergeCell ref="A20:C20"/>
    <mergeCell ref="E20:H20"/>
    <mergeCell ref="I20:J20"/>
    <mergeCell ref="A26:C26"/>
    <mergeCell ref="E26:H26"/>
    <mergeCell ref="I26:J26"/>
    <mergeCell ref="A27:C27"/>
    <mergeCell ref="E27:H27"/>
    <mergeCell ref="I27:J27"/>
    <mergeCell ref="A23:C23"/>
    <mergeCell ref="E23:H23"/>
    <mergeCell ref="I23:J23"/>
    <mergeCell ref="A24:J24"/>
    <mergeCell ref="A25:C25"/>
    <mergeCell ref="E25:H25"/>
    <mergeCell ref="I25:J25"/>
    <mergeCell ref="A36:J36"/>
    <mergeCell ref="A37:C37"/>
    <mergeCell ref="E37:H37"/>
    <mergeCell ref="I37:J37"/>
    <mergeCell ref="A38:C38"/>
    <mergeCell ref="E38:H38"/>
    <mergeCell ref="I38:J38"/>
    <mergeCell ref="A28:C28"/>
    <mergeCell ref="E28:H28"/>
    <mergeCell ref="I28:J28"/>
    <mergeCell ref="A32:J32"/>
    <mergeCell ref="A33:C33"/>
    <mergeCell ref="E33:H33"/>
    <mergeCell ref="I33:J33"/>
    <mergeCell ref="I29:J29"/>
    <mergeCell ref="E29:H29"/>
    <mergeCell ref="A31:C31"/>
    <mergeCell ref="A30:C30"/>
    <mergeCell ref="A29:C29"/>
    <mergeCell ref="E30:H30"/>
    <mergeCell ref="E31:H31"/>
    <mergeCell ref="I30:J30"/>
    <mergeCell ref="I31:J31"/>
    <mergeCell ref="A41:C41"/>
    <mergeCell ref="E41:H41"/>
    <mergeCell ref="I41:J41"/>
    <mergeCell ref="A42:C42"/>
    <mergeCell ref="E42:H42"/>
    <mergeCell ref="I42:J42"/>
    <mergeCell ref="A39:C39"/>
    <mergeCell ref="E39:H39"/>
    <mergeCell ref="I39:J39"/>
    <mergeCell ref="A40:C40"/>
    <mergeCell ref="E40:H40"/>
    <mergeCell ref="I40:J40"/>
    <mergeCell ref="A48:C48"/>
    <mergeCell ref="E48:H48"/>
    <mergeCell ref="I48:J48"/>
    <mergeCell ref="A49:C49"/>
    <mergeCell ref="E49:H49"/>
    <mergeCell ref="I49:J49"/>
    <mergeCell ref="A45:J45"/>
    <mergeCell ref="A46:C46"/>
    <mergeCell ref="E46:H46"/>
    <mergeCell ref="I46:J46"/>
    <mergeCell ref="A47:C47"/>
    <mergeCell ref="E47:H47"/>
    <mergeCell ref="I47:J47"/>
    <mergeCell ref="A52:C52"/>
    <mergeCell ref="E52:H52"/>
    <mergeCell ref="I52:J52"/>
    <mergeCell ref="A53:C53"/>
    <mergeCell ref="E53:H53"/>
    <mergeCell ref="I53:J53"/>
    <mergeCell ref="A50:C50"/>
    <mergeCell ref="E50:H50"/>
    <mergeCell ref="I50:J50"/>
    <mergeCell ref="A51:C51"/>
    <mergeCell ref="E51:H51"/>
    <mergeCell ref="I51:J51"/>
    <mergeCell ref="A56:C56"/>
    <mergeCell ref="E56:H56"/>
    <mergeCell ref="I56:J56"/>
    <mergeCell ref="A57:C57"/>
    <mergeCell ref="E57:H57"/>
    <mergeCell ref="I57:J57"/>
    <mergeCell ref="A54:C54"/>
    <mergeCell ref="E54:H54"/>
    <mergeCell ref="I54:J54"/>
    <mergeCell ref="A55:C55"/>
    <mergeCell ref="E55:H55"/>
    <mergeCell ref="I55:J55"/>
    <mergeCell ref="A60:C60"/>
    <mergeCell ref="E60:H60"/>
    <mergeCell ref="I60:J60"/>
    <mergeCell ref="A61:C61"/>
    <mergeCell ref="E61:H61"/>
    <mergeCell ref="I61:J61"/>
    <mergeCell ref="A58:C58"/>
    <mergeCell ref="E58:H58"/>
    <mergeCell ref="I58:J58"/>
    <mergeCell ref="A59:C59"/>
    <mergeCell ref="E59:H59"/>
    <mergeCell ref="I59:J59"/>
    <mergeCell ref="A64:C64"/>
    <mergeCell ref="E64:H64"/>
    <mergeCell ref="I64:J64"/>
    <mergeCell ref="A65:C65"/>
    <mergeCell ref="E65:H65"/>
    <mergeCell ref="I65:J65"/>
    <mergeCell ref="A62:C62"/>
    <mergeCell ref="E62:H62"/>
    <mergeCell ref="I62:J62"/>
    <mergeCell ref="A63:C63"/>
    <mergeCell ref="E63:H63"/>
    <mergeCell ref="I63:J63"/>
    <mergeCell ref="A68:J68"/>
    <mergeCell ref="A69:C69"/>
    <mergeCell ref="E69:H69"/>
    <mergeCell ref="I69:J69"/>
    <mergeCell ref="A66:C66"/>
    <mergeCell ref="E66:H66"/>
    <mergeCell ref="I66:J66"/>
    <mergeCell ref="A67:C67"/>
    <mergeCell ref="E67:H67"/>
    <mergeCell ref="I67:J67"/>
    <mergeCell ref="A72:C72"/>
    <mergeCell ref="E72:H72"/>
    <mergeCell ref="I72:J72"/>
    <mergeCell ref="A73:C73"/>
    <mergeCell ref="E73:H73"/>
    <mergeCell ref="I73:J73"/>
    <mergeCell ref="A70:C70"/>
    <mergeCell ref="E70:H70"/>
    <mergeCell ref="I70:J70"/>
    <mergeCell ref="A71:C71"/>
    <mergeCell ref="E71:H71"/>
    <mergeCell ref="I71:J71"/>
    <mergeCell ref="E76:H76"/>
    <mergeCell ref="I76:J76"/>
    <mergeCell ref="A77:C77"/>
    <mergeCell ref="E77:H77"/>
    <mergeCell ref="I77:J77"/>
    <mergeCell ref="A74:C74"/>
    <mergeCell ref="E74:H74"/>
    <mergeCell ref="I74:J74"/>
    <mergeCell ref="A75:C75"/>
    <mergeCell ref="E75:H75"/>
    <mergeCell ref="I75:J75"/>
    <mergeCell ref="A87:C87"/>
    <mergeCell ref="E87:H87"/>
    <mergeCell ref="I87:J87"/>
    <mergeCell ref="A88:C88"/>
    <mergeCell ref="E88:H88"/>
    <mergeCell ref="I88:J88"/>
    <mergeCell ref="E82:H82"/>
    <mergeCell ref="I82:J82"/>
    <mergeCell ref="A83:C83"/>
    <mergeCell ref="E83:H83"/>
    <mergeCell ref="I83:J83"/>
    <mergeCell ref="I86:J86"/>
    <mergeCell ref="E86:H86"/>
    <mergeCell ref="A86:C86"/>
    <mergeCell ref="A84:C84"/>
    <mergeCell ref="E84:H84"/>
    <mergeCell ref="I84:J84"/>
    <mergeCell ref="A85:J85"/>
    <mergeCell ref="A90:J90"/>
    <mergeCell ref="A91:C91"/>
    <mergeCell ref="E91:H91"/>
    <mergeCell ref="I91:J91"/>
    <mergeCell ref="A92:C92"/>
    <mergeCell ref="E92:H92"/>
    <mergeCell ref="I92:J92"/>
    <mergeCell ref="A89:C89"/>
    <mergeCell ref="E89:H89"/>
    <mergeCell ref="I89:J89"/>
    <mergeCell ref="A96:C96"/>
    <mergeCell ref="E96:H96"/>
    <mergeCell ref="I96:J96"/>
    <mergeCell ref="A97:C97"/>
    <mergeCell ref="E97:H97"/>
    <mergeCell ref="I97:J97"/>
    <mergeCell ref="A93:C93"/>
    <mergeCell ref="E93:H93"/>
    <mergeCell ref="I93:J93"/>
    <mergeCell ref="A94:J94"/>
    <mergeCell ref="A95:C95"/>
    <mergeCell ref="E95:H95"/>
    <mergeCell ref="I95:J95"/>
    <mergeCell ref="A101:C101"/>
    <mergeCell ref="E101:H101"/>
    <mergeCell ref="I101:J101"/>
    <mergeCell ref="A102:C102"/>
    <mergeCell ref="E102:H102"/>
    <mergeCell ref="I102:J102"/>
    <mergeCell ref="A98:J98"/>
    <mergeCell ref="A99:C99"/>
    <mergeCell ref="E99:H99"/>
    <mergeCell ref="I99:J99"/>
    <mergeCell ref="A100:C100"/>
    <mergeCell ref="E100:H100"/>
    <mergeCell ref="I100:J100"/>
    <mergeCell ref="E110:I110"/>
    <mergeCell ref="E111:I111"/>
    <mergeCell ref="A103:I103"/>
    <mergeCell ref="A104:C104"/>
    <mergeCell ref="E104:H104"/>
    <mergeCell ref="I104:J104"/>
    <mergeCell ref="A105:C105"/>
    <mergeCell ref="E105:H105"/>
    <mergeCell ref="I105:J105"/>
    <mergeCell ref="A106:C106"/>
    <mergeCell ref="E106:H106"/>
    <mergeCell ref="I106:J106"/>
    <mergeCell ref="A81:J81"/>
    <mergeCell ref="A82:C82"/>
    <mergeCell ref="A79:C79"/>
    <mergeCell ref="E79:H79"/>
    <mergeCell ref="I79:J79"/>
    <mergeCell ref="I34:J34"/>
    <mergeCell ref="I35:J35"/>
    <mergeCell ref="A43:C43"/>
    <mergeCell ref="A44:C44"/>
    <mergeCell ref="E43:H43"/>
    <mergeCell ref="E44:H44"/>
    <mergeCell ref="I43:J43"/>
    <mergeCell ref="I44:J44"/>
    <mergeCell ref="A34:C34"/>
    <mergeCell ref="A35:C35"/>
    <mergeCell ref="E34:H34"/>
    <mergeCell ref="E35:H35"/>
    <mergeCell ref="A80:C80"/>
    <mergeCell ref="E80:H80"/>
    <mergeCell ref="I80:J80"/>
    <mergeCell ref="A78:C78"/>
    <mergeCell ref="E78:H78"/>
    <mergeCell ref="I78:J78"/>
    <mergeCell ref="A76:C76"/>
  </mergeCells>
  <phoneticPr fontId="25" type="noConversion"/>
  <pageMargins left="0.511811024" right="0.511811024" top="0.78740157499999996" bottom="0.78740157499999996" header="0.31496062000000002" footer="0.31496062000000002"/>
  <pageSetup paperSize="9" scale="78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7"/>
  <sheetViews>
    <sheetView view="pageBreakPreview" topLeftCell="A10" zoomScale="110" zoomScaleNormal="100" zoomScaleSheetLayoutView="110" workbookViewId="0">
      <selection activeCell="G52" sqref="G52"/>
    </sheetView>
  </sheetViews>
  <sheetFormatPr defaultColWidth="9.140625" defaultRowHeight="15" x14ac:dyDescent="0.25"/>
  <cols>
    <col min="1" max="1" width="7.28515625" style="1" customWidth="1"/>
    <col min="2" max="3" width="10.7109375" style="1" customWidth="1"/>
    <col min="4" max="4" width="9" style="1" customWidth="1"/>
    <col min="5" max="5" width="14.5703125" style="1" customWidth="1"/>
    <col min="6" max="6" width="23.85546875" style="1" customWidth="1"/>
    <col min="7" max="12" width="10.7109375" style="1" customWidth="1"/>
    <col min="13" max="16" width="8.7109375" style="1" hidden="1" customWidth="1"/>
    <col min="17" max="17" width="10.7109375" style="1" customWidth="1"/>
    <col min="18" max="16384" width="9.140625" style="1"/>
  </cols>
  <sheetData>
    <row r="1" spans="1:19" ht="15.75" thickTop="1" x14ac:dyDescent="0.25">
      <c r="A1" s="266" t="s">
        <v>43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  <c r="L1" s="267"/>
      <c r="M1" s="267"/>
      <c r="N1" s="267"/>
      <c r="O1" s="267"/>
      <c r="P1" s="267"/>
      <c r="Q1" s="268"/>
    </row>
    <row r="2" spans="1:19" ht="15.75" thickBot="1" x14ac:dyDescent="0.3">
      <c r="A2" s="269"/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1"/>
    </row>
    <row r="3" spans="1:19" ht="15.75" customHeight="1" thickTop="1" x14ac:dyDescent="0.25">
      <c r="A3" s="29" t="e">
        <f>#REF!</f>
        <v>#REF!</v>
      </c>
      <c r="B3" s="33" t="str">
        <f>+'PLANILHA orçamentária'!B4:E4</f>
        <v>CONSTRUÇÃO DE CAPELA VELÓRIO COM ÁREA CONSTRUÍDA DE 91,74M2</v>
      </c>
      <c r="C3" s="30"/>
      <c r="D3" s="30"/>
      <c r="E3" s="30"/>
      <c r="F3" s="31"/>
      <c r="G3" s="272" t="s">
        <v>44</v>
      </c>
      <c r="H3" s="273"/>
      <c r="I3" s="273"/>
      <c r="J3" s="273"/>
      <c r="K3" s="273"/>
      <c r="L3" s="273"/>
      <c r="M3" s="273"/>
      <c r="N3" s="273"/>
      <c r="O3" s="273"/>
      <c r="P3" s="274"/>
      <c r="Q3" s="34" t="s">
        <v>342</v>
      </c>
    </row>
    <row r="4" spans="1:19" x14ac:dyDescent="0.25">
      <c r="A4" s="29" t="e">
        <f>#REF!</f>
        <v>#REF!</v>
      </c>
      <c r="B4" s="33" t="str">
        <f>+'PLANILHA orçamentária'!B5:E5</f>
        <v>RUA PACÍFICO SANTO DE ALMEIDA, S/Nº - CENTRO - NOVORIZONTE/MG</v>
      </c>
      <c r="C4" s="30"/>
      <c r="D4" s="30"/>
      <c r="E4" s="30"/>
      <c r="F4" s="32"/>
      <c r="G4" s="275"/>
      <c r="H4" s="276"/>
      <c r="I4" s="276"/>
      <c r="J4" s="276"/>
      <c r="K4" s="276"/>
      <c r="L4" s="276"/>
      <c r="M4" s="276"/>
      <c r="N4" s="276"/>
      <c r="O4" s="276"/>
      <c r="P4" s="277"/>
      <c r="Q4" s="35">
        <f>'PLANILHA orçamentária'!H4</f>
        <v>44007</v>
      </c>
    </row>
    <row r="5" spans="1:19" s="6" customFormat="1" ht="12.75" x14ac:dyDescent="0.2">
      <c r="A5" s="2" t="s">
        <v>45</v>
      </c>
      <c r="B5" s="278" t="s">
        <v>46</v>
      </c>
      <c r="C5" s="278"/>
      <c r="D5" s="278"/>
      <c r="E5" s="278"/>
      <c r="F5" s="3" t="s">
        <v>58</v>
      </c>
      <c r="G5" s="3" t="s">
        <v>47</v>
      </c>
      <c r="H5" s="3" t="s">
        <v>48</v>
      </c>
      <c r="I5" s="3" t="s">
        <v>49</v>
      </c>
      <c r="J5" s="3" t="s">
        <v>50</v>
      </c>
      <c r="K5" s="3" t="s">
        <v>51</v>
      </c>
      <c r="L5" s="3" t="s">
        <v>52</v>
      </c>
      <c r="M5" s="3" t="s">
        <v>243</v>
      </c>
      <c r="N5" s="3" t="s">
        <v>244</v>
      </c>
      <c r="O5" s="3" t="s">
        <v>245</v>
      </c>
      <c r="P5" s="3" t="s">
        <v>246</v>
      </c>
      <c r="Q5" s="4" t="s">
        <v>53</v>
      </c>
      <c r="R5" s="5"/>
      <c r="S5" s="44"/>
    </row>
    <row r="6" spans="1:19" s="6" customFormat="1" ht="11.45" customHeight="1" x14ac:dyDescent="0.2">
      <c r="A6" s="279" t="e">
        <f>+#REF!</f>
        <v>#REF!</v>
      </c>
      <c r="B6" s="280" t="str">
        <f>'PLANILHA orçamentária'!C7</f>
        <v>SERVIÇOS PRELIMINARES</v>
      </c>
      <c r="C6" s="281"/>
      <c r="D6" s="281"/>
      <c r="E6" s="282"/>
      <c r="F6" s="283">
        <f>'PLANILHA orçamentária'!H10</f>
        <v>1517.03</v>
      </c>
      <c r="G6" s="10">
        <f>$F6*G7</f>
        <v>1517.03</v>
      </c>
      <c r="H6" s="10">
        <f>$F6*H7</f>
        <v>0</v>
      </c>
      <c r="I6" s="10">
        <f t="shared" ref="I6:P6" si="0">$F6*I7</f>
        <v>0</v>
      </c>
      <c r="J6" s="10">
        <f t="shared" si="0"/>
        <v>0</v>
      </c>
      <c r="K6" s="10">
        <f t="shared" si="0"/>
        <v>0</v>
      </c>
      <c r="L6" s="10">
        <f t="shared" si="0"/>
        <v>0</v>
      </c>
      <c r="M6" s="10">
        <f t="shared" si="0"/>
        <v>0</v>
      </c>
      <c r="N6" s="10">
        <f t="shared" si="0"/>
        <v>0</v>
      </c>
      <c r="O6" s="10">
        <f t="shared" si="0"/>
        <v>0</v>
      </c>
      <c r="P6" s="10">
        <f t="shared" si="0"/>
        <v>0</v>
      </c>
      <c r="Q6" s="11">
        <f>IF(Q7=100%,F6,0)</f>
        <v>1517.03</v>
      </c>
      <c r="R6" s="5"/>
    </row>
    <row r="7" spans="1:19" s="6" customFormat="1" ht="10.15" customHeight="1" x14ac:dyDescent="0.2">
      <c r="A7" s="245"/>
      <c r="B7" s="249"/>
      <c r="C7" s="250"/>
      <c r="D7" s="250"/>
      <c r="E7" s="251"/>
      <c r="F7" s="265"/>
      <c r="G7" s="8">
        <v>1</v>
      </c>
      <c r="H7" s="8"/>
      <c r="I7" s="8"/>
      <c r="J7" s="8"/>
      <c r="K7" s="8"/>
      <c r="L7" s="8"/>
      <c r="M7" s="8"/>
      <c r="N7" s="8"/>
      <c r="O7" s="8"/>
      <c r="P7" s="8"/>
      <c r="Q7" s="9">
        <f>SUM(G7:P7)</f>
        <v>1</v>
      </c>
      <c r="R7" s="5"/>
      <c r="S7" s="36"/>
    </row>
    <row r="8" spans="1:19" s="7" customFormat="1" ht="11.25" x14ac:dyDescent="0.2">
      <c r="A8" s="260">
        <v>2</v>
      </c>
      <c r="B8" s="261" t="str">
        <f>'PLANILHA orçamentária'!C11</f>
        <v>MOVIMENTO DE TERRA</v>
      </c>
      <c r="C8" s="262"/>
      <c r="D8" s="262"/>
      <c r="E8" s="263"/>
      <c r="F8" s="264">
        <f>'PLANILHA orçamentária'!H16</f>
        <v>2490.0700000000002</v>
      </c>
      <c r="G8" s="10">
        <f>$F8*G9</f>
        <v>2490.0700000000002</v>
      </c>
      <c r="H8" s="10">
        <f>$F8*H9</f>
        <v>0</v>
      </c>
      <c r="I8" s="10">
        <f t="shared" ref="I8:P8" si="1">$F8*I9</f>
        <v>0</v>
      </c>
      <c r="J8" s="10">
        <f t="shared" si="1"/>
        <v>0</v>
      </c>
      <c r="K8" s="10">
        <f t="shared" si="1"/>
        <v>0</v>
      </c>
      <c r="L8" s="10">
        <f t="shared" si="1"/>
        <v>0</v>
      </c>
      <c r="M8" s="10">
        <f t="shared" si="1"/>
        <v>0</v>
      </c>
      <c r="N8" s="10">
        <f t="shared" si="1"/>
        <v>0</v>
      </c>
      <c r="O8" s="10">
        <f t="shared" si="1"/>
        <v>0</v>
      </c>
      <c r="P8" s="10">
        <f t="shared" si="1"/>
        <v>0</v>
      </c>
      <c r="Q8" s="11">
        <f>IF(Q9=100%,F8,0)</f>
        <v>2490.0700000000002</v>
      </c>
    </row>
    <row r="9" spans="1:19" s="7" customFormat="1" ht="11.25" x14ac:dyDescent="0.2">
      <c r="A9" s="245"/>
      <c r="B9" s="249"/>
      <c r="C9" s="250"/>
      <c r="D9" s="250"/>
      <c r="E9" s="251"/>
      <c r="F9" s="265"/>
      <c r="G9" s="8">
        <v>1</v>
      </c>
      <c r="H9" s="8"/>
      <c r="I9" s="8"/>
      <c r="J9" s="8"/>
      <c r="K9" s="8"/>
      <c r="L9" s="8"/>
      <c r="M9" s="8"/>
      <c r="N9" s="8"/>
      <c r="O9" s="8"/>
      <c r="P9" s="8"/>
      <c r="Q9" s="9">
        <f>SUM(G9:P9)</f>
        <v>1</v>
      </c>
      <c r="S9" s="37"/>
    </row>
    <row r="10" spans="1:19" s="7" customFormat="1" ht="11.25" x14ac:dyDescent="0.2">
      <c r="A10" s="260">
        <v>3</v>
      </c>
      <c r="B10" s="246" t="str">
        <f>'PLANILHA orçamentária'!C17</f>
        <v>FUNDAÇÕES</v>
      </c>
      <c r="C10" s="247"/>
      <c r="D10" s="247"/>
      <c r="E10" s="248"/>
      <c r="F10" s="264">
        <f>'PLANILHA orçamentária'!H24</f>
        <v>9729.4</v>
      </c>
      <c r="G10" s="10">
        <f>$F10*G11</f>
        <v>9729.4</v>
      </c>
      <c r="H10" s="10">
        <f>$F10*H11</f>
        <v>0</v>
      </c>
      <c r="I10" s="10">
        <f t="shared" ref="I10:P10" si="2">$F10*I11</f>
        <v>0</v>
      </c>
      <c r="J10" s="10">
        <f t="shared" si="2"/>
        <v>0</v>
      </c>
      <c r="K10" s="10">
        <f t="shared" si="2"/>
        <v>0</v>
      </c>
      <c r="L10" s="10">
        <f t="shared" si="2"/>
        <v>0</v>
      </c>
      <c r="M10" s="10">
        <f t="shared" si="2"/>
        <v>0</v>
      </c>
      <c r="N10" s="10">
        <f t="shared" si="2"/>
        <v>0</v>
      </c>
      <c r="O10" s="10">
        <f t="shared" si="2"/>
        <v>0</v>
      </c>
      <c r="P10" s="10">
        <f t="shared" si="2"/>
        <v>0</v>
      </c>
      <c r="Q10" s="11">
        <f t="shared" ref="Q10" si="3">IF(Q11=100%,F10,0)</f>
        <v>9729.4</v>
      </c>
    </row>
    <row r="11" spans="1:19" s="7" customFormat="1" ht="11.25" x14ac:dyDescent="0.2">
      <c r="A11" s="245"/>
      <c r="B11" s="249"/>
      <c r="C11" s="250"/>
      <c r="D11" s="250"/>
      <c r="E11" s="251"/>
      <c r="F11" s="252"/>
      <c r="G11" s="8">
        <v>1</v>
      </c>
      <c r="H11" s="8"/>
      <c r="I11" s="8"/>
      <c r="J11" s="8"/>
      <c r="K11" s="8"/>
      <c r="L11" s="8"/>
      <c r="M11" s="8"/>
      <c r="N11" s="8"/>
      <c r="O11" s="8"/>
      <c r="P11" s="8"/>
      <c r="Q11" s="9">
        <f t="shared" ref="Q11" si="4">SUM(G11:P11)</f>
        <v>1</v>
      </c>
      <c r="S11" s="37"/>
    </row>
    <row r="12" spans="1:19" s="7" customFormat="1" ht="11.25" x14ac:dyDescent="0.2">
      <c r="A12" s="260">
        <v>4</v>
      </c>
      <c r="B12" s="246" t="str">
        <f>'PLANILHA orçamentária'!C25</f>
        <v>ESTRUTURA</v>
      </c>
      <c r="C12" s="247"/>
      <c r="D12" s="247"/>
      <c r="E12" s="248"/>
      <c r="F12" s="252">
        <f>'PLANILHA orçamentária'!H32</f>
        <v>18431.16</v>
      </c>
      <c r="G12" s="12">
        <f>$F12*G13</f>
        <v>0</v>
      </c>
      <c r="H12" s="12">
        <f>$F12*H13</f>
        <v>18431.16</v>
      </c>
      <c r="I12" s="12">
        <f t="shared" ref="I12:P12" si="5">$F12*I13</f>
        <v>0</v>
      </c>
      <c r="J12" s="12">
        <f t="shared" si="5"/>
        <v>0</v>
      </c>
      <c r="K12" s="12">
        <f t="shared" si="5"/>
        <v>0</v>
      </c>
      <c r="L12" s="12">
        <f t="shared" si="5"/>
        <v>0</v>
      </c>
      <c r="M12" s="12">
        <f t="shared" si="5"/>
        <v>0</v>
      </c>
      <c r="N12" s="12">
        <f t="shared" si="5"/>
        <v>0</v>
      </c>
      <c r="O12" s="12">
        <f t="shared" si="5"/>
        <v>0</v>
      </c>
      <c r="P12" s="12">
        <f t="shared" si="5"/>
        <v>0</v>
      </c>
      <c r="Q12" s="11">
        <f t="shared" ref="Q12" si="6">IF(Q13=100%,F12,0)</f>
        <v>18431.16</v>
      </c>
    </row>
    <row r="13" spans="1:19" s="7" customFormat="1" ht="11.25" x14ac:dyDescent="0.2">
      <c r="A13" s="245"/>
      <c r="B13" s="249"/>
      <c r="C13" s="250"/>
      <c r="D13" s="250"/>
      <c r="E13" s="251"/>
      <c r="F13" s="252"/>
      <c r="G13" s="8"/>
      <c r="H13" s="8">
        <v>1</v>
      </c>
      <c r="I13" s="8"/>
      <c r="J13" s="8"/>
      <c r="K13" s="8"/>
      <c r="L13" s="8"/>
      <c r="M13" s="8"/>
      <c r="N13" s="8"/>
      <c r="O13" s="8"/>
      <c r="P13" s="8"/>
      <c r="Q13" s="9">
        <f t="shared" ref="Q13" si="7">SUM(G13:P13)</f>
        <v>1</v>
      </c>
      <c r="S13" s="37"/>
    </row>
    <row r="14" spans="1:19" s="7" customFormat="1" ht="11.25" x14ac:dyDescent="0.2">
      <c r="A14" s="260">
        <v>5</v>
      </c>
      <c r="B14" s="246" t="str">
        <f>'PLANILHA orçamentária'!C33</f>
        <v>COBERTURA</v>
      </c>
      <c r="C14" s="247"/>
      <c r="D14" s="247"/>
      <c r="E14" s="248"/>
      <c r="F14" s="252">
        <f>'PLANILHA orçamentária'!H41</f>
        <v>13859.86</v>
      </c>
      <c r="G14" s="12">
        <f>$F14*G15</f>
        <v>0</v>
      </c>
      <c r="H14" s="12">
        <f>$F14*H15</f>
        <v>6929.93</v>
      </c>
      <c r="I14" s="12">
        <f t="shared" ref="I14:P14" si="8">$F14*I15</f>
        <v>6929.93</v>
      </c>
      <c r="J14" s="12">
        <f t="shared" si="8"/>
        <v>0</v>
      </c>
      <c r="K14" s="12">
        <f t="shared" si="8"/>
        <v>0</v>
      </c>
      <c r="L14" s="12">
        <f t="shared" si="8"/>
        <v>0</v>
      </c>
      <c r="M14" s="12">
        <f t="shared" si="8"/>
        <v>0</v>
      </c>
      <c r="N14" s="12">
        <f t="shared" si="8"/>
        <v>0</v>
      </c>
      <c r="O14" s="12">
        <f t="shared" si="8"/>
        <v>0</v>
      </c>
      <c r="P14" s="12">
        <f t="shared" si="8"/>
        <v>0</v>
      </c>
      <c r="Q14" s="11">
        <f t="shared" ref="Q14" si="9">IF(Q15=100%,F14,0)</f>
        <v>13859.86</v>
      </c>
    </row>
    <row r="15" spans="1:19" s="7" customFormat="1" ht="11.25" x14ac:dyDescent="0.2">
      <c r="A15" s="245"/>
      <c r="B15" s="249"/>
      <c r="C15" s="250"/>
      <c r="D15" s="250"/>
      <c r="E15" s="251"/>
      <c r="F15" s="252"/>
      <c r="G15" s="8"/>
      <c r="H15" s="8">
        <v>0.5</v>
      </c>
      <c r="I15" s="8">
        <v>0.5</v>
      </c>
      <c r="J15" s="8"/>
      <c r="K15" s="8"/>
      <c r="L15" s="8"/>
      <c r="M15" s="8"/>
      <c r="N15" s="8"/>
      <c r="O15" s="8"/>
      <c r="P15" s="8"/>
      <c r="Q15" s="9">
        <f t="shared" ref="Q15" si="10">SUM(G15:P15)</f>
        <v>1</v>
      </c>
      <c r="S15" s="37"/>
    </row>
    <row r="16" spans="1:19" s="7" customFormat="1" ht="11.25" x14ac:dyDescent="0.2">
      <c r="A16" s="260">
        <v>6</v>
      </c>
      <c r="B16" s="246" t="str">
        <f>'PLANILHA orçamentária'!C42</f>
        <v>PAREDES E PAINEIS</v>
      </c>
      <c r="C16" s="247"/>
      <c r="D16" s="247"/>
      <c r="E16" s="248"/>
      <c r="F16" s="252">
        <f>+'PLANILHA orçamentária'!H46</f>
        <v>11508.42</v>
      </c>
      <c r="G16" s="12">
        <f>$F16*G17</f>
        <v>5754.21</v>
      </c>
      <c r="H16" s="12">
        <f>$F16*H17</f>
        <v>5754.21</v>
      </c>
      <c r="I16" s="12">
        <f t="shared" ref="I16:P16" si="11">$F16*I17</f>
        <v>0</v>
      </c>
      <c r="J16" s="12">
        <f t="shared" si="11"/>
        <v>0</v>
      </c>
      <c r="K16" s="12">
        <f t="shared" si="11"/>
        <v>0</v>
      </c>
      <c r="L16" s="12">
        <f t="shared" si="11"/>
        <v>0</v>
      </c>
      <c r="M16" s="12">
        <f t="shared" si="11"/>
        <v>0</v>
      </c>
      <c r="N16" s="12">
        <f t="shared" si="11"/>
        <v>0</v>
      </c>
      <c r="O16" s="12">
        <f t="shared" si="11"/>
        <v>0</v>
      </c>
      <c r="P16" s="12">
        <f t="shared" si="11"/>
        <v>0</v>
      </c>
      <c r="Q16" s="11">
        <f t="shared" ref="Q16" si="12">IF(Q17=100%,F16,0)</f>
        <v>11508.42</v>
      </c>
    </row>
    <row r="17" spans="1:19" s="7" customFormat="1" ht="11.25" x14ac:dyDescent="0.2">
      <c r="A17" s="245"/>
      <c r="B17" s="249"/>
      <c r="C17" s="250"/>
      <c r="D17" s="250"/>
      <c r="E17" s="251"/>
      <c r="F17" s="252"/>
      <c r="G17" s="8">
        <v>0.5</v>
      </c>
      <c r="H17" s="8">
        <v>0.5</v>
      </c>
      <c r="I17" s="8"/>
      <c r="J17" s="8"/>
      <c r="K17" s="8"/>
      <c r="L17" s="8"/>
      <c r="M17" s="8"/>
      <c r="N17" s="8"/>
      <c r="O17" s="8"/>
      <c r="P17" s="8"/>
      <c r="Q17" s="9">
        <f t="shared" ref="Q17" si="13">SUM(G17:P17)</f>
        <v>1</v>
      </c>
      <c r="S17" s="37"/>
    </row>
    <row r="18" spans="1:19" s="7" customFormat="1" ht="11.25" x14ac:dyDescent="0.2">
      <c r="A18" s="260">
        <v>7</v>
      </c>
      <c r="B18" s="246" t="str">
        <f>'PLANILHA orçamentária'!C47</f>
        <v>ESQUADRIAS E FERRAGENS</v>
      </c>
      <c r="C18" s="247"/>
      <c r="D18" s="247"/>
      <c r="E18" s="248"/>
      <c r="F18" s="252">
        <f>'PLANILHA orçamentária'!H56</f>
        <v>16232.579999999998</v>
      </c>
      <c r="G18" s="12"/>
      <c r="H18" s="12">
        <f>$F18*H19</f>
        <v>0</v>
      </c>
      <c r="I18" s="12">
        <f t="shared" ref="I18:P18" si="14">$F18*I19</f>
        <v>11362.805999999999</v>
      </c>
      <c r="J18" s="12">
        <f t="shared" si="14"/>
        <v>4869.7739999999994</v>
      </c>
      <c r="K18" s="12">
        <f t="shared" si="14"/>
        <v>0</v>
      </c>
      <c r="L18" s="12">
        <f t="shared" si="14"/>
        <v>0</v>
      </c>
      <c r="M18" s="12">
        <f t="shared" si="14"/>
        <v>0</v>
      </c>
      <c r="N18" s="12">
        <f t="shared" si="14"/>
        <v>0</v>
      </c>
      <c r="O18" s="12">
        <f t="shared" si="14"/>
        <v>0</v>
      </c>
      <c r="P18" s="12">
        <f t="shared" si="14"/>
        <v>0</v>
      </c>
      <c r="Q18" s="11">
        <f t="shared" ref="Q18" si="15">IF(Q19=100%,F18,0)</f>
        <v>16232.579999999998</v>
      </c>
    </row>
    <row r="19" spans="1:19" s="7" customFormat="1" ht="11.25" x14ac:dyDescent="0.2">
      <c r="A19" s="245"/>
      <c r="B19" s="249"/>
      <c r="C19" s="250"/>
      <c r="D19" s="250"/>
      <c r="E19" s="251"/>
      <c r="F19" s="252"/>
      <c r="G19" s="8"/>
      <c r="H19" s="8"/>
      <c r="I19" s="8">
        <v>0.7</v>
      </c>
      <c r="J19" s="8">
        <v>0.3</v>
      </c>
      <c r="K19" s="8"/>
      <c r="L19" s="8"/>
      <c r="M19" s="8"/>
      <c r="N19" s="8"/>
      <c r="O19" s="8"/>
      <c r="P19" s="8"/>
      <c r="Q19" s="9">
        <f t="shared" ref="Q19" si="16">SUM(G19:P19)</f>
        <v>1</v>
      </c>
      <c r="S19" s="37"/>
    </row>
    <row r="20" spans="1:19" s="7" customFormat="1" ht="11.25" x14ac:dyDescent="0.2">
      <c r="A20" s="260">
        <v>8</v>
      </c>
      <c r="B20" s="246" t="str">
        <f>'PLANILHA orçamentária'!C57</f>
        <v>INSTALAÇÕES HIDROSSANITÁRIAS</v>
      </c>
      <c r="C20" s="247"/>
      <c r="D20" s="247"/>
      <c r="E20" s="248"/>
      <c r="F20" s="252">
        <f>'PLANILHA orçamentária'!H80</f>
        <v>7724.6800000000021</v>
      </c>
      <c r="G20" s="12">
        <f t="shared" ref="G20:P22" si="17">$F20*G21</f>
        <v>1931.1700000000005</v>
      </c>
      <c r="H20" s="12">
        <f t="shared" si="17"/>
        <v>1931.1700000000005</v>
      </c>
      <c r="I20" s="12">
        <f t="shared" si="17"/>
        <v>1544.9360000000006</v>
      </c>
      <c r="J20" s="12">
        <f t="shared" si="17"/>
        <v>2317.4040000000005</v>
      </c>
      <c r="K20" s="12">
        <f t="shared" si="17"/>
        <v>0</v>
      </c>
      <c r="L20" s="12">
        <f t="shared" si="17"/>
        <v>0</v>
      </c>
      <c r="M20" s="12">
        <f t="shared" si="17"/>
        <v>0</v>
      </c>
      <c r="N20" s="12">
        <f t="shared" si="17"/>
        <v>0</v>
      </c>
      <c r="O20" s="12">
        <f t="shared" si="17"/>
        <v>0</v>
      </c>
      <c r="P20" s="12">
        <f t="shared" si="17"/>
        <v>0</v>
      </c>
      <c r="Q20" s="11">
        <f t="shared" ref="Q20" si="18">IF(Q21=100%,F20,0)</f>
        <v>7724.6800000000021</v>
      </c>
    </row>
    <row r="21" spans="1:19" s="7" customFormat="1" ht="11.25" x14ac:dyDescent="0.2">
      <c r="A21" s="245"/>
      <c r="B21" s="249"/>
      <c r="C21" s="250"/>
      <c r="D21" s="250"/>
      <c r="E21" s="251"/>
      <c r="F21" s="252"/>
      <c r="G21" s="8">
        <v>0.25</v>
      </c>
      <c r="H21" s="8">
        <v>0.25</v>
      </c>
      <c r="I21" s="8">
        <v>0.2</v>
      </c>
      <c r="J21" s="8">
        <v>0.3</v>
      </c>
      <c r="K21" s="8"/>
      <c r="L21" s="8"/>
      <c r="M21" s="8"/>
      <c r="N21" s="8"/>
      <c r="O21" s="8"/>
      <c r="P21" s="8"/>
      <c r="Q21" s="9">
        <f t="shared" ref="Q21" si="19">SUM(G21:P21)</f>
        <v>1</v>
      </c>
      <c r="S21" s="37"/>
    </row>
    <row r="22" spans="1:19" s="7" customFormat="1" ht="11.25" x14ac:dyDescent="0.2">
      <c r="A22" s="260">
        <v>9</v>
      </c>
      <c r="B22" s="246" t="str">
        <f>'PLANILHA orçamentária'!C81</f>
        <v>INSTALAÇÕES ELÉTRICAS</v>
      </c>
      <c r="C22" s="247"/>
      <c r="D22" s="247"/>
      <c r="E22" s="248"/>
      <c r="F22" s="252">
        <f>'PLANILHA orçamentária'!H94</f>
        <v>15038.359999999999</v>
      </c>
      <c r="G22" s="12">
        <f t="shared" si="17"/>
        <v>1503.836</v>
      </c>
      <c r="H22" s="12">
        <f t="shared" ref="H22:P22" si="20">$F22*H23</f>
        <v>1503.836</v>
      </c>
      <c r="I22" s="12">
        <f t="shared" si="20"/>
        <v>6015.3440000000001</v>
      </c>
      <c r="J22" s="12">
        <f t="shared" si="20"/>
        <v>6015.3440000000001</v>
      </c>
      <c r="K22" s="12">
        <f t="shared" si="20"/>
        <v>0</v>
      </c>
      <c r="L22" s="12">
        <f t="shared" si="20"/>
        <v>0</v>
      </c>
      <c r="M22" s="12">
        <f t="shared" si="20"/>
        <v>0</v>
      </c>
      <c r="N22" s="12">
        <f t="shared" si="20"/>
        <v>0</v>
      </c>
      <c r="O22" s="12">
        <f t="shared" si="20"/>
        <v>0</v>
      </c>
      <c r="P22" s="12">
        <f t="shared" si="20"/>
        <v>0</v>
      </c>
      <c r="Q22" s="11">
        <f t="shared" ref="Q22" si="21">IF(Q23=100%,F22,0)</f>
        <v>15038.359999999999</v>
      </c>
    </row>
    <row r="23" spans="1:19" s="7" customFormat="1" ht="11.25" x14ac:dyDescent="0.2">
      <c r="A23" s="245"/>
      <c r="B23" s="249"/>
      <c r="C23" s="250"/>
      <c r="D23" s="250"/>
      <c r="E23" s="251"/>
      <c r="F23" s="252"/>
      <c r="G23" s="8">
        <v>0.1</v>
      </c>
      <c r="H23" s="8">
        <v>0.1</v>
      </c>
      <c r="I23" s="8">
        <v>0.4</v>
      </c>
      <c r="J23" s="8">
        <v>0.4</v>
      </c>
      <c r="K23" s="8"/>
      <c r="L23" s="8"/>
      <c r="M23" s="8"/>
      <c r="N23" s="8"/>
      <c r="O23" s="8"/>
      <c r="P23" s="8"/>
      <c r="Q23" s="9">
        <f t="shared" ref="Q23" si="22">SUM(G23:P23)</f>
        <v>1</v>
      </c>
      <c r="S23" s="37"/>
    </row>
    <row r="24" spans="1:19" s="7" customFormat="1" ht="11.25" x14ac:dyDescent="0.2">
      <c r="A24" s="260">
        <v>10</v>
      </c>
      <c r="B24" s="246" t="str">
        <f>'PLANILHA orçamentária'!C95</f>
        <v>REVESTIMENTOS</v>
      </c>
      <c r="C24" s="247"/>
      <c r="D24" s="247"/>
      <c r="E24" s="248"/>
      <c r="F24" s="252">
        <f>'PLANILHA orçamentária'!H99</f>
        <v>21105.550000000003</v>
      </c>
      <c r="G24" s="12">
        <f t="shared" ref="G24:P24" si="23">$F24*G25</f>
        <v>0</v>
      </c>
      <c r="H24" s="12">
        <f t="shared" si="23"/>
        <v>4221.1100000000006</v>
      </c>
      <c r="I24" s="12">
        <f t="shared" si="23"/>
        <v>10552.775000000001</v>
      </c>
      <c r="J24" s="12">
        <f t="shared" si="23"/>
        <v>6331.6650000000009</v>
      </c>
      <c r="K24" s="12">
        <f t="shared" si="23"/>
        <v>0</v>
      </c>
      <c r="L24" s="12">
        <f t="shared" si="23"/>
        <v>0</v>
      </c>
      <c r="M24" s="12">
        <f t="shared" si="23"/>
        <v>0</v>
      </c>
      <c r="N24" s="12">
        <f t="shared" si="23"/>
        <v>0</v>
      </c>
      <c r="O24" s="12">
        <f t="shared" si="23"/>
        <v>0</v>
      </c>
      <c r="P24" s="12">
        <f t="shared" si="23"/>
        <v>0</v>
      </c>
      <c r="Q24" s="11">
        <f t="shared" ref="Q24" si="24">IF(Q25=100%,F24,0)</f>
        <v>21105.550000000003</v>
      </c>
    </row>
    <row r="25" spans="1:19" s="7" customFormat="1" ht="11.25" x14ac:dyDescent="0.2">
      <c r="A25" s="245"/>
      <c r="B25" s="249"/>
      <c r="C25" s="250"/>
      <c r="D25" s="250"/>
      <c r="E25" s="251"/>
      <c r="F25" s="252"/>
      <c r="G25" s="8"/>
      <c r="H25" s="8">
        <v>0.2</v>
      </c>
      <c r="I25" s="8">
        <v>0.5</v>
      </c>
      <c r="J25" s="8">
        <v>0.3</v>
      </c>
      <c r="K25" s="8"/>
      <c r="L25" s="8"/>
      <c r="M25" s="8"/>
      <c r="N25" s="8"/>
      <c r="O25" s="8"/>
      <c r="P25" s="8"/>
      <c r="Q25" s="9">
        <f t="shared" ref="Q25" si="25">SUM(G25:P25)</f>
        <v>1</v>
      </c>
      <c r="S25" s="37"/>
    </row>
    <row r="26" spans="1:19" s="7" customFormat="1" ht="11.25" x14ac:dyDescent="0.2">
      <c r="A26" s="260">
        <v>11</v>
      </c>
      <c r="B26" s="246" t="str">
        <f>'PLANILHA orçamentária'!C100</f>
        <v>PISOS</v>
      </c>
      <c r="C26" s="247"/>
      <c r="D26" s="247"/>
      <c r="E26" s="248"/>
      <c r="F26" s="252">
        <f>'PLANILHA orçamentária'!H105</f>
        <v>8698.57</v>
      </c>
      <c r="G26" s="12">
        <f t="shared" ref="G26:P26" si="26">$F26*G27</f>
        <v>1739.7139999999999</v>
      </c>
      <c r="H26" s="12">
        <f t="shared" si="26"/>
        <v>2609.5709999999999</v>
      </c>
      <c r="I26" s="12">
        <f t="shared" si="26"/>
        <v>2609.5709999999999</v>
      </c>
      <c r="J26" s="12">
        <f t="shared" si="26"/>
        <v>1739.7139999999999</v>
      </c>
      <c r="K26" s="12">
        <f t="shared" si="26"/>
        <v>0</v>
      </c>
      <c r="L26" s="12">
        <f t="shared" si="26"/>
        <v>0</v>
      </c>
      <c r="M26" s="12">
        <f t="shared" si="26"/>
        <v>0</v>
      </c>
      <c r="N26" s="12">
        <f t="shared" si="26"/>
        <v>0</v>
      </c>
      <c r="O26" s="12">
        <f t="shared" si="26"/>
        <v>0</v>
      </c>
      <c r="P26" s="12">
        <f t="shared" si="26"/>
        <v>0</v>
      </c>
      <c r="Q26" s="11">
        <f t="shared" ref="Q26" si="27">IF(Q27=100%,F26,0)</f>
        <v>8698.57</v>
      </c>
    </row>
    <row r="27" spans="1:19" s="7" customFormat="1" ht="11.25" x14ac:dyDescent="0.2">
      <c r="A27" s="245"/>
      <c r="B27" s="249"/>
      <c r="C27" s="250"/>
      <c r="D27" s="250"/>
      <c r="E27" s="251"/>
      <c r="F27" s="252"/>
      <c r="G27" s="8">
        <v>0.2</v>
      </c>
      <c r="H27" s="8">
        <v>0.3</v>
      </c>
      <c r="I27" s="8">
        <v>0.3</v>
      </c>
      <c r="J27" s="8">
        <v>0.2</v>
      </c>
      <c r="K27" s="8"/>
      <c r="L27" s="8"/>
      <c r="M27" s="8"/>
      <c r="N27" s="8"/>
      <c r="O27" s="8"/>
      <c r="P27" s="8"/>
      <c r="Q27" s="9">
        <f>SUM(G27:P27)</f>
        <v>1</v>
      </c>
      <c r="S27" s="37"/>
    </row>
    <row r="28" spans="1:19" s="7" customFormat="1" ht="11.25" x14ac:dyDescent="0.2">
      <c r="A28" s="260">
        <v>12</v>
      </c>
      <c r="B28" s="246" t="str">
        <f>'PLANILHA orçamentária'!C106</f>
        <v>PINTURAS</v>
      </c>
      <c r="C28" s="247"/>
      <c r="D28" s="247"/>
      <c r="E28" s="248"/>
      <c r="F28" s="252">
        <f>'PLANILHA orçamentária'!H110</f>
        <v>7817.0099999999993</v>
      </c>
      <c r="G28" s="12">
        <f t="shared" ref="G28:P28" si="28">$F28*G29</f>
        <v>0</v>
      </c>
      <c r="H28" s="12">
        <f t="shared" si="28"/>
        <v>0</v>
      </c>
      <c r="I28" s="12">
        <f t="shared" si="28"/>
        <v>0</v>
      </c>
      <c r="J28" s="12">
        <f t="shared" si="28"/>
        <v>7817.0099999999993</v>
      </c>
      <c r="K28" s="12">
        <f t="shared" si="28"/>
        <v>0</v>
      </c>
      <c r="L28" s="12">
        <f t="shared" si="28"/>
        <v>0</v>
      </c>
      <c r="M28" s="12">
        <f t="shared" si="28"/>
        <v>0</v>
      </c>
      <c r="N28" s="12">
        <f t="shared" si="28"/>
        <v>0</v>
      </c>
      <c r="O28" s="12">
        <f t="shared" si="28"/>
        <v>0</v>
      </c>
      <c r="P28" s="12">
        <f t="shared" si="28"/>
        <v>0</v>
      </c>
      <c r="Q28" s="11">
        <f t="shared" ref="Q28" si="29">IF(Q29=100%,F28,0)</f>
        <v>7817.0099999999993</v>
      </c>
    </row>
    <row r="29" spans="1:19" s="7" customFormat="1" ht="11.25" x14ac:dyDescent="0.2">
      <c r="A29" s="245"/>
      <c r="B29" s="249"/>
      <c r="C29" s="250"/>
      <c r="D29" s="250"/>
      <c r="E29" s="251"/>
      <c r="F29" s="252"/>
      <c r="G29" s="8"/>
      <c r="H29" s="8"/>
      <c r="I29" s="8"/>
      <c r="J29" s="8">
        <v>1</v>
      </c>
      <c r="K29" s="8"/>
      <c r="L29" s="8"/>
      <c r="M29" s="8"/>
      <c r="N29" s="8"/>
      <c r="O29" s="8"/>
      <c r="P29" s="8"/>
      <c r="Q29" s="9">
        <f t="shared" ref="Q29" si="30">SUM(G29:P29)</f>
        <v>1</v>
      </c>
      <c r="S29" s="37"/>
    </row>
    <row r="30" spans="1:19" s="7" customFormat="1" ht="11.25" x14ac:dyDescent="0.2">
      <c r="A30" s="260">
        <v>13</v>
      </c>
      <c r="B30" s="246" t="str">
        <f>'PLANILHA orçamentária'!C111</f>
        <v>SISTEMA DE PROTEÇÃO CONTRA INCÊNDIO</v>
      </c>
      <c r="C30" s="247"/>
      <c r="D30" s="247"/>
      <c r="E30" s="248"/>
      <c r="F30" s="252">
        <f>'PLANILHA orçamentária'!H115</f>
        <v>358.27</v>
      </c>
      <c r="G30" s="12">
        <f t="shared" ref="G30:P32" si="31">$F30*G31</f>
        <v>0</v>
      </c>
      <c r="H30" s="12">
        <f>$F30*H31</f>
        <v>0</v>
      </c>
      <c r="I30" s="12">
        <f t="shared" ref="I30:P30" si="32">$F30*I31</f>
        <v>0</v>
      </c>
      <c r="J30" s="12">
        <f t="shared" si="32"/>
        <v>358.27</v>
      </c>
      <c r="K30" s="12">
        <f t="shared" si="32"/>
        <v>0</v>
      </c>
      <c r="L30" s="12">
        <f t="shared" si="32"/>
        <v>0</v>
      </c>
      <c r="M30" s="12">
        <f t="shared" si="32"/>
        <v>0</v>
      </c>
      <c r="N30" s="12">
        <f t="shared" si="32"/>
        <v>0</v>
      </c>
      <c r="O30" s="12">
        <f t="shared" si="32"/>
        <v>0</v>
      </c>
      <c r="P30" s="12">
        <f t="shared" si="32"/>
        <v>0</v>
      </c>
      <c r="Q30" s="11">
        <f>IF(Q31=100%,F30,0)</f>
        <v>358.27</v>
      </c>
      <c r="S30" s="37"/>
    </row>
    <row r="31" spans="1:19" s="7" customFormat="1" ht="11.25" x14ac:dyDescent="0.2">
      <c r="A31" s="245"/>
      <c r="B31" s="249"/>
      <c r="C31" s="250"/>
      <c r="D31" s="250"/>
      <c r="E31" s="251"/>
      <c r="F31" s="252"/>
      <c r="G31" s="8"/>
      <c r="H31" s="8"/>
      <c r="I31" s="8"/>
      <c r="J31" s="8">
        <v>1</v>
      </c>
      <c r="K31" s="8"/>
      <c r="L31" s="8"/>
      <c r="M31" s="8"/>
      <c r="N31" s="8"/>
      <c r="O31" s="8"/>
      <c r="P31" s="8"/>
      <c r="Q31" s="9">
        <f t="shared" ref="Q31" si="33">SUM(G31:P31)</f>
        <v>1</v>
      </c>
      <c r="S31" s="37"/>
    </row>
    <row r="32" spans="1:19" s="7" customFormat="1" ht="11.25" x14ac:dyDescent="0.2">
      <c r="A32" s="260">
        <v>14</v>
      </c>
      <c r="B32" s="246" t="str">
        <f>'PLANILHA orçamentária'!C116</f>
        <v>MURO EXTERNO</v>
      </c>
      <c r="C32" s="247"/>
      <c r="D32" s="247"/>
      <c r="E32" s="248"/>
      <c r="F32" s="252">
        <f>'PLANILHA orçamentária'!H121</f>
        <v>2961.51</v>
      </c>
      <c r="G32" s="12">
        <f t="shared" si="31"/>
        <v>0</v>
      </c>
      <c r="H32" s="12">
        <f t="shared" si="31"/>
        <v>0</v>
      </c>
      <c r="I32" s="12">
        <f t="shared" si="31"/>
        <v>0</v>
      </c>
      <c r="J32" s="12">
        <f t="shared" si="31"/>
        <v>2961.51</v>
      </c>
      <c r="K32" s="12">
        <f t="shared" si="31"/>
        <v>0</v>
      </c>
      <c r="L32" s="12">
        <f t="shared" si="31"/>
        <v>0</v>
      </c>
      <c r="M32" s="12">
        <f t="shared" si="31"/>
        <v>0</v>
      </c>
      <c r="N32" s="12">
        <f t="shared" si="31"/>
        <v>0</v>
      </c>
      <c r="O32" s="12">
        <f t="shared" si="31"/>
        <v>0</v>
      </c>
      <c r="P32" s="12">
        <f t="shared" si="31"/>
        <v>0</v>
      </c>
      <c r="Q32" s="11">
        <f t="shared" ref="Q32" si="34">IF(Q33=100%,F32,0)</f>
        <v>2961.51</v>
      </c>
    </row>
    <row r="33" spans="1:19" s="7" customFormat="1" ht="11.25" x14ac:dyDescent="0.2">
      <c r="A33" s="245"/>
      <c r="B33" s="249"/>
      <c r="C33" s="250"/>
      <c r="D33" s="250"/>
      <c r="E33" s="251"/>
      <c r="F33" s="252"/>
      <c r="G33" s="8"/>
      <c r="H33" s="8"/>
      <c r="I33" s="8"/>
      <c r="J33" s="8">
        <v>1</v>
      </c>
      <c r="K33" s="8"/>
      <c r="L33" s="8"/>
      <c r="M33" s="8"/>
      <c r="N33" s="8"/>
      <c r="O33" s="8"/>
      <c r="P33" s="8"/>
      <c r="Q33" s="9">
        <f t="shared" ref="Q33" si="35">SUM(G33:P33)</f>
        <v>1</v>
      </c>
      <c r="S33" s="37"/>
    </row>
    <row r="34" spans="1:19" s="7" customFormat="1" ht="11.25" x14ac:dyDescent="0.2">
      <c r="A34" s="260">
        <v>15</v>
      </c>
      <c r="B34" s="246" t="str">
        <f>'PLANILHA orçamentária'!C122</f>
        <v>SERVIÇOS COMPLEMENTARES</v>
      </c>
      <c r="C34" s="247"/>
      <c r="D34" s="247"/>
      <c r="E34" s="248"/>
      <c r="F34" s="252">
        <f>'PLANILHA orçamentária'!H124</f>
        <v>269.73</v>
      </c>
      <c r="G34" s="12">
        <f t="shared" ref="G34:P34" si="36">$F34*G35</f>
        <v>0</v>
      </c>
      <c r="H34" s="12">
        <f t="shared" si="36"/>
        <v>0</v>
      </c>
      <c r="I34" s="12">
        <f t="shared" si="36"/>
        <v>0</v>
      </c>
      <c r="J34" s="12">
        <f t="shared" si="36"/>
        <v>269.73</v>
      </c>
      <c r="K34" s="12">
        <f t="shared" si="36"/>
        <v>0</v>
      </c>
      <c r="L34" s="12">
        <f t="shared" si="36"/>
        <v>0</v>
      </c>
      <c r="M34" s="12">
        <f t="shared" si="36"/>
        <v>0</v>
      </c>
      <c r="N34" s="12">
        <f t="shared" si="36"/>
        <v>0</v>
      </c>
      <c r="O34" s="12">
        <f t="shared" si="36"/>
        <v>0</v>
      </c>
      <c r="P34" s="12">
        <f t="shared" si="36"/>
        <v>0</v>
      </c>
      <c r="Q34" s="13">
        <f t="shared" ref="Q34" si="37">IF(Q35=100%,F34,0)</f>
        <v>269.73</v>
      </c>
    </row>
    <row r="35" spans="1:19" s="7" customFormat="1" ht="11.25" x14ac:dyDescent="0.2">
      <c r="A35" s="245"/>
      <c r="B35" s="249"/>
      <c r="C35" s="250"/>
      <c r="D35" s="250"/>
      <c r="E35" s="251"/>
      <c r="F35" s="252"/>
      <c r="G35" s="8"/>
      <c r="H35" s="8"/>
      <c r="I35" s="8"/>
      <c r="J35" s="8">
        <v>1</v>
      </c>
      <c r="K35" s="8"/>
      <c r="L35" s="8"/>
      <c r="M35" s="8"/>
      <c r="N35" s="8"/>
      <c r="O35" s="8"/>
      <c r="P35" s="8"/>
      <c r="Q35" s="9">
        <f t="shared" ref="Q35" si="38">SUM(G35:P35)</f>
        <v>1</v>
      </c>
    </row>
    <row r="36" spans="1:19" s="7" customFormat="1" ht="11.25" hidden="1" x14ac:dyDescent="0.2">
      <c r="A36" s="245"/>
      <c r="B36" s="246"/>
      <c r="C36" s="247"/>
      <c r="D36" s="247"/>
      <c r="E36" s="248"/>
      <c r="F36" s="252"/>
      <c r="G36" s="12">
        <f t="shared" ref="G36:I36" si="39">$F36*G37</f>
        <v>0</v>
      </c>
      <c r="H36" s="12">
        <f t="shared" si="39"/>
        <v>0</v>
      </c>
      <c r="I36" s="12">
        <f t="shared" si="39"/>
        <v>0</v>
      </c>
      <c r="J36" s="12"/>
      <c r="K36" s="12"/>
      <c r="L36" s="12"/>
      <c r="M36" s="12"/>
      <c r="N36" s="12"/>
      <c r="O36" s="12"/>
      <c r="P36" s="12">
        <f t="shared" ref="P36:P40" si="40">$F36*P37</f>
        <v>0</v>
      </c>
      <c r="Q36" s="13">
        <f t="shared" ref="Q36" si="41">IF(Q37=100%,F36,0)</f>
        <v>0</v>
      </c>
    </row>
    <row r="37" spans="1:19" s="7" customFormat="1" ht="11.25" hidden="1" x14ac:dyDescent="0.2">
      <c r="A37" s="245"/>
      <c r="B37" s="249"/>
      <c r="C37" s="250"/>
      <c r="D37" s="250"/>
      <c r="E37" s="251"/>
      <c r="F37" s="252"/>
      <c r="G37" s="8"/>
      <c r="H37" s="8"/>
      <c r="I37" s="8"/>
      <c r="J37" s="8"/>
      <c r="K37" s="8"/>
      <c r="L37" s="8"/>
      <c r="M37" s="8"/>
      <c r="N37" s="8"/>
      <c r="O37" s="8"/>
      <c r="P37" s="8">
        <v>6</v>
      </c>
      <c r="Q37" s="9">
        <f t="shared" ref="Q37" si="42">SUM(G37:P37)</f>
        <v>6</v>
      </c>
    </row>
    <row r="38" spans="1:19" s="7" customFormat="1" ht="11.25" hidden="1" x14ac:dyDescent="0.2">
      <c r="A38" s="245"/>
      <c r="B38" s="246"/>
      <c r="C38" s="247"/>
      <c r="D38" s="247"/>
      <c r="E38" s="248"/>
      <c r="F38" s="252"/>
      <c r="G38" s="12">
        <f t="shared" ref="G38:I38" si="43">$F38*G39</f>
        <v>0</v>
      </c>
      <c r="H38" s="12">
        <f t="shared" si="43"/>
        <v>0</v>
      </c>
      <c r="I38" s="12">
        <f t="shared" si="43"/>
        <v>0</v>
      </c>
      <c r="J38" s="12"/>
      <c r="K38" s="12"/>
      <c r="L38" s="12"/>
      <c r="M38" s="12"/>
      <c r="N38" s="12"/>
      <c r="O38" s="12"/>
      <c r="P38" s="12">
        <f t="shared" si="40"/>
        <v>0</v>
      </c>
      <c r="Q38" s="13">
        <f t="shared" ref="Q38" si="44">IF(Q39=100%,F38,0)</f>
        <v>0</v>
      </c>
    </row>
    <row r="39" spans="1:19" s="7" customFormat="1" ht="11.25" hidden="1" x14ac:dyDescent="0.2">
      <c r="A39" s="245"/>
      <c r="B39" s="249"/>
      <c r="C39" s="250"/>
      <c r="D39" s="250"/>
      <c r="E39" s="251"/>
      <c r="F39" s="252"/>
      <c r="G39" s="8"/>
      <c r="H39" s="8"/>
      <c r="I39" s="8"/>
      <c r="J39" s="8"/>
      <c r="K39" s="8"/>
      <c r="L39" s="8"/>
      <c r="M39" s="8"/>
      <c r="N39" s="8"/>
      <c r="O39" s="8"/>
      <c r="P39" s="8">
        <v>7</v>
      </c>
      <c r="Q39" s="9">
        <f t="shared" ref="Q39" si="45">SUM(G39:P39)</f>
        <v>7</v>
      </c>
    </row>
    <row r="40" spans="1:19" s="7" customFormat="1" ht="11.25" hidden="1" x14ac:dyDescent="0.2">
      <c r="A40" s="245"/>
      <c r="B40" s="246"/>
      <c r="C40" s="247"/>
      <c r="D40" s="247"/>
      <c r="E40" s="248"/>
      <c r="F40" s="252"/>
      <c r="G40" s="12">
        <f t="shared" ref="G40:I40" si="46">$F40*G41</f>
        <v>0</v>
      </c>
      <c r="H40" s="12">
        <f t="shared" si="46"/>
        <v>0</v>
      </c>
      <c r="I40" s="12">
        <f t="shared" si="46"/>
        <v>0</v>
      </c>
      <c r="J40" s="12"/>
      <c r="K40" s="12"/>
      <c r="L40" s="12"/>
      <c r="M40" s="12"/>
      <c r="N40" s="12"/>
      <c r="O40" s="12"/>
      <c r="P40" s="12">
        <f t="shared" si="40"/>
        <v>0</v>
      </c>
      <c r="Q40" s="13">
        <f t="shared" ref="Q40" si="47">IF(Q41=100%,F40,0)</f>
        <v>0</v>
      </c>
    </row>
    <row r="41" spans="1:19" s="7" customFormat="1" ht="11.25" hidden="1" x14ac:dyDescent="0.2">
      <c r="A41" s="245"/>
      <c r="B41" s="249"/>
      <c r="C41" s="250"/>
      <c r="D41" s="250"/>
      <c r="E41" s="251"/>
      <c r="F41" s="252"/>
      <c r="G41" s="8"/>
      <c r="H41" s="8"/>
      <c r="I41" s="8"/>
      <c r="J41" s="8"/>
      <c r="K41" s="8"/>
      <c r="L41" s="8"/>
      <c r="M41" s="8"/>
      <c r="N41" s="8"/>
      <c r="O41" s="8"/>
      <c r="P41" s="8">
        <v>8</v>
      </c>
      <c r="Q41" s="9">
        <f t="shared" ref="Q41" si="48">SUM(G41:P41)</f>
        <v>8</v>
      </c>
    </row>
    <row r="42" spans="1:19" s="7" customFormat="1" ht="11.25" hidden="1" x14ac:dyDescent="0.2">
      <c r="A42" s="245"/>
      <c r="B42" s="253"/>
      <c r="C42" s="247"/>
      <c r="D42" s="247"/>
      <c r="E42" s="248"/>
      <c r="F42" s="252"/>
      <c r="G42" s="12">
        <f>$F42*G43</f>
        <v>0</v>
      </c>
      <c r="H42" s="12">
        <f>$F42*H43</f>
        <v>0</v>
      </c>
      <c r="I42" s="12">
        <f>$F42*I43</f>
        <v>0</v>
      </c>
      <c r="J42" s="12"/>
      <c r="K42" s="12"/>
      <c r="L42" s="12"/>
      <c r="M42" s="12"/>
      <c r="N42" s="12"/>
      <c r="O42" s="12"/>
      <c r="P42" s="12">
        <f t="shared" ref="P42" si="49">$F42*P43</f>
        <v>0</v>
      </c>
      <c r="Q42" s="13">
        <f>IF(Q43=100%,F42,0)</f>
        <v>0</v>
      </c>
    </row>
    <row r="43" spans="1:19" s="7" customFormat="1" ht="11.25" hidden="1" x14ac:dyDescent="0.2">
      <c r="A43" s="245"/>
      <c r="B43" s="249"/>
      <c r="C43" s="250"/>
      <c r="D43" s="250"/>
      <c r="E43" s="251"/>
      <c r="F43" s="252"/>
      <c r="G43" s="8"/>
      <c r="H43" s="8"/>
      <c r="I43" s="8"/>
      <c r="J43" s="8"/>
      <c r="K43" s="8"/>
      <c r="L43" s="8"/>
      <c r="M43" s="8"/>
      <c r="N43" s="8"/>
      <c r="O43" s="8"/>
      <c r="P43" s="8">
        <v>9</v>
      </c>
      <c r="Q43" s="9"/>
    </row>
    <row r="44" spans="1:19" s="7" customFormat="1" ht="11.25" x14ac:dyDescent="0.2">
      <c r="A44" s="14"/>
      <c r="B44" s="254" t="s">
        <v>54</v>
      </c>
      <c r="C44" s="254"/>
      <c r="D44" s="254"/>
      <c r="E44" s="254"/>
      <c r="F44" s="15">
        <f>SUM(F6:F43)</f>
        <v>137742.20000000004</v>
      </c>
      <c r="G44" s="16">
        <f>G8+G10+G12+G14+G16+G42+G20+G22+G24+G26+G28+G32+G34+G36+G38+G40+G6+G18+G30</f>
        <v>24665.43</v>
      </c>
      <c r="H44" s="16">
        <f t="shared" ref="H44:L44" si="50">H8+H10+H12+H14+H16+H42+H20+H22+H24+H26+H28+H32+H34+H36+H38+H40+H6+H18+H30</f>
        <v>41380.987000000008</v>
      </c>
      <c r="I44" s="16">
        <f t="shared" si="50"/>
        <v>39015.362000000001</v>
      </c>
      <c r="J44" s="16">
        <f t="shared" si="50"/>
        <v>32680.420999999998</v>
      </c>
      <c r="K44" s="16">
        <f t="shared" si="50"/>
        <v>0</v>
      </c>
      <c r="L44" s="16">
        <f t="shared" si="50"/>
        <v>0</v>
      </c>
      <c r="M44" s="16">
        <f t="shared" ref="M44" si="51">M8+M10+M12+M14+M16+M42+M20+M22+M24+M26+M28+M32+M34+M36+M38+M40+M6+M18+M30</f>
        <v>0</v>
      </c>
      <c r="N44" s="16">
        <f t="shared" ref="N44:P44" si="52">N8+N10+N12+N14+N16+N42+N20+N22+N24+N26+N28+N32+N34+N36+N38+N40+N6+N18+N30</f>
        <v>0</v>
      </c>
      <c r="O44" s="16">
        <f t="shared" si="52"/>
        <v>0</v>
      </c>
      <c r="P44" s="16">
        <f t="shared" si="52"/>
        <v>0</v>
      </c>
      <c r="Q44" s="17">
        <f>Q8+Q10+Q12+Q14+Q16+Q42+Q20+Q22+Q24+Q26+Q28+Q32+Q34+Q36+Q38+Q40+Q6+Q18+Q30</f>
        <v>137742.19999999998</v>
      </c>
    </row>
    <row r="45" spans="1:19" s="7" customFormat="1" ht="11.25" x14ac:dyDescent="0.2">
      <c r="A45" s="18"/>
      <c r="B45" s="255" t="s">
        <v>55</v>
      </c>
      <c r="C45" s="255"/>
      <c r="D45" s="255"/>
      <c r="E45" s="255"/>
      <c r="F45" s="12"/>
      <c r="G45" s="19">
        <f>G44</f>
        <v>24665.43</v>
      </c>
      <c r="H45" s="19">
        <f>H44+G45</f>
        <v>66046.417000000016</v>
      </c>
      <c r="I45" s="19">
        <f>I44+H45</f>
        <v>105061.77900000001</v>
      </c>
      <c r="J45" s="19">
        <f t="shared" ref="J45:M45" si="53">J44+I45</f>
        <v>137742.20000000001</v>
      </c>
      <c r="K45" s="19">
        <f t="shared" si="53"/>
        <v>137742.20000000001</v>
      </c>
      <c r="L45" s="19">
        <f t="shared" si="53"/>
        <v>137742.20000000001</v>
      </c>
      <c r="M45" s="19">
        <f t="shared" si="53"/>
        <v>137742.20000000001</v>
      </c>
      <c r="N45" s="19">
        <f>N44+I45</f>
        <v>105061.77900000001</v>
      </c>
      <c r="O45" s="19">
        <f t="shared" ref="O45:P45" si="54">O44+N45</f>
        <v>105061.77900000001</v>
      </c>
      <c r="P45" s="19">
        <f t="shared" si="54"/>
        <v>105061.77900000001</v>
      </c>
      <c r="Q45" s="13"/>
    </row>
    <row r="46" spans="1:19" s="7" customFormat="1" ht="11.25" x14ac:dyDescent="0.2">
      <c r="A46" s="18"/>
      <c r="B46" s="255" t="s">
        <v>56</v>
      </c>
      <c r="C46" s="255"/>
      <c r="D46" s="255"/>
      <c r="E46" s="255"/>
      <c r="F46" s="12"/>
      <c r="G46" s="20">
        <f t="shared" ref="G46:P47" si="55">(G44/$F$44)</f>
        <v>0.17906952262995648</v>
      </c>
      <c r="H46" s="21">
        <f t="shared" si="55"/>
        <v>0.30042345047487262</v>
      </c>
      <c r="I46" s="21">
        <f>(I44/$F$44)</f>
        <v>0.28324915675805956</v>
      </c>
      <c r="J46" s="21">
        <f t="shared" ref="J46:M46" si="56">(J44/$F$44)</f>
        <v>0.23725787013711114</v>
      </c>
      <c r="K46" s="21">
        <f t="shared" si="56"/>
        <v>0</v>
      </c>
      <c r="L46" s="21">
        <f t="shared" si="56"/>
        <v>0</v>
      </c>
      <c r="M46" s="21">
        <f t="shared" si="56"/>
        <v>0</v>
      </c>
      <c r="N46" s="20">
        <f t="shared" si="55"/>
        <v>0</v>
      </c>
      <c r="O46" s="20">
        <f t="shared" si="55"/>
        <v>0</v>
      </c>
      <c r="P46" s="20">
        <f t="shared" si="55"/>
        <v>0</v>
      </c>
      <c r="Q46" s="13"/>
    </row>
    <row r="47" spans="1:19" s="7" customFormat="1" ht="12" thickBot="1" x14ac:dyDescent="0.25">
      <c r="A47" s="22"/>
      <c r="B47" s="256" t="s">
        <v>57</v>
      </c>
      <c r="C47" s="256"/>
      <c r="D47" s="256"/>
      <c r="E47" s="256"/>
      <c r="F47" s="23"/>
      <c r="G47" s="24">
        <f t="shared" si="55"/>
        <v>0.17906952262995648</v>
      </c>
      <c r="H47" s="25">
        <f>(H45/$F$44)</f>
        <v>0.47949297310482913</v>
      </c>
      <c r="I47" s="25">
        <f>(I45/$F$44)</f>
        <v>0.76274212986288858</v>
      </c>
      <c r="J47" s="25">
        <f t="shared" ref="J47:M47" si="57">(J45/$F$44)</f>
        <v>0.99999999999999978</v>
      </c>
      <c r="K47" s="25">
        <f t="shared" si="57"/>
        <v>0.99999999999999978</v>
      </c>
      <c r="L47" s="25">
        <f t="shared" si="57"/>
        <v>0.99999999999999978</v>
      </c>
      <c r="M47" s="25">
        <f t="shared" si="57"/>
        <v>0.99999999999999978</v>
      </c>
      <c r="N47" s="24">
        <f t="shared" si="55"/>
        <v>0.76274212986288858</v>
      </c>
      <c r="O47" s="24">
        <f t="shared" si="55"/>
        <v>0.76274212986288858</v>
      </c>
      <c r="P47" s="24">
        <f t="shared" si="55"/>
        <v>0.76274212986288858</v>
      </c>
      <c r="Q47" s="26"/>
    </row>
    <row r="48" spans="1:19" s="7" customFormat="1" ht="12" thickTop="1" x14ac:dyDescent="0.2">
      <c r="A48" s="28"/>
      <c r="B48" s="27"/>
      <c r="C48" s="27"/>
      <c r="D48" s="27"/>
      <c r="E48" s="27"/>
      <c r="F48" s="135"/>
      <c r="G48" s="136"/>
      <c r="H48" s="137"/>
      <c r="I48" s="137"/>
      <c r="J48" s="137"/>
      <c r="K48" s="137"/>
      <c r="L48" s="137"/>
      <c r="M48" s="137"/>
      <c r="N48" s="136"/>
      <c r="O48" s="136"/>
      <c r="P48" s="136"/>
      <c r="Q48" s="135"/>
    </row>
    <row r="49" spans="1:17" s="7" customFormat="1" ht="11.25" x14ac:dyDescent="0.2">
      <c r="A49" s="28"/>
      <c r="B49" s="27"/>
      <c r="C49" s="27"/>
      <c r="D49" s="27"/>
      <c r="E49" s="27"/>
      <c r="F49" s="135"/>
      <c r="G49" s="136"/>
      <c r="H49" s="137"/>
      <c r="I49" s="137"/>
      <c r="J49" s="137"/>
      <c r="K49" s="137"/>
      <c r="L49" s="137"/>
      <c r="M49" s="137"/>
      <c r="N49" s="136"/>
      <c r="O49" s="136"/>
      <c r="P49" s="136"/>
      <c r="Q49" s="135"/>
    </row>
    <row r="50" spans="1:17" s="7" customFormat="1" ht="11.25" x14ac:dyDescent="0.2">
      <c r="B50" s="27"/>
      <c r="C50" s="27"/>
      <c r="D50" s="27"/>
      <c r="E50" s="27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</row>
    <row r="51" spans="1:17" s="7" customFormat="1" ht="15" customHeight="1" x14ac:dyDescent="0.2">
      <c r="A51" s="258" t="str">
        <f>'PLANILHA orçamentária'!C130</f>
        <v>VINÍCIUS MODESTO COSTA MATOS - ENG. CIVIL, CREA: MG219.180/D</v>
      </c>
      <c r="B51" s="258"/>
      <c r="C51" s="258"/>
      <c r="D51" s="258"/>
      <c r="E51" s="258"/>
      <c r="F51" s="28"/>
      <c r="G51" s="259" t="str">
        <f>'PLANILHA orçamentária'!A127</f>
        <v>NOVORIZONTE-MG, 25/06/2020</v>
      </c>
      <c r="H51" s="259"/>
      <c r="I51" s="259"/>
      <c r="J51" s="259"/>
      <c r="K51" s="28"/>
      <c r="L51" s="28"/>
      <c r="M51" s="28"/>
      <c r="N51" s="28"/>
      <c r="O51" s="28"/>
      <c r="P51" s="28"/>
      <c r="Q51" s="28"/>
    </row>
    <row r="52" spans="1:17" s="7" customFormat="1" ht="11.25" x14ac:dyDescent="0.2">
      <c r="B52" s="27"/>
      <c r="C52" s="27"/>
      <c r="D52" s="27"/>
      <c r="E52" s="27"/>
      <c r="N52" s="28"/>
      <c r="O52" s="28"/>
      <c r="P52" s="28"/>
      <c r="Q52" s="28"/>
    </row>
    <row r="53" spans="1:17" s="7" customFormat="1" ht="11.25" x14ac:dyDescent="0.2">
      <c r="A53" s="257"/>
      <c r="B53" s="257"/>
      <c r="C53" s="257"/>
      <c r="D53" s="257"/>
      <c r="E53" s="257"/>
      <c r="F53" s="257"/>
      <c r="G53" s="257"/>
      <c r="H53" s="257"/>
      <c r="I53" s="257"/>
      <c r="J53" s="257"/>
      <c r="K53" s="257"/>
      <c r="L53" s="257"/>
      <c r="M53" s="257"/>
      <c r="N53" s="257"/>
      <c r="O53" s="257"/>
      <c r="P53" s="257"/>
      <c r="Q53" s="257"/>
    </row>
    <row r="54" spans="1:17" s="7" customFormat="1" ht="11.25" x14ac:dyDescent="0.2">
      <c r="A54" s="244"/>
      <c r="B54" s="244"/>
      <c r="C54" s="244"/>
      <c r="D54" s="244"/>
      <c r="E54" s="244"/>
      <c r="F54" s="244"/>
      <c r="G54" s="244"/>
      <c r="H54" s="244"/>
      <c r="I54" s="244"/>
      <c r="J54" s="244"/>
      <c r="K54" s="244"/>
      <c r="L54" s="244"/>
      <c r="M54" s="244"/>
      <c r="N54" s="244"/>
      <c r="O54" s="244"/>
      <c r="P54" s="244"/>
      <c r="Q54" s="244"/>
    </row>
    <row r="55" spans="1:17" s="7" customFormat="1" ht="11.25" x14ac:dyDescent="0.2">
      <c r="B55" s="27"/>
      <c r="C55" s="27"/>
      <c r="D55" s="27"/>
      <c r="E55" s="27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</row>
    <row r="56" spans="1:17" s="7" customFormat="1" ht="11.25" x14ac:dyDescent="0.2">
      <c r="B56" s="27"/>
      <c r="C56" s="27"/>
      <c r="D56" s="27"/>
      <c r="E56" s="27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</row>
    <row r="57" spans="1:17" s="7" customFormat="1" ht="11.25" x14ac:dyDescent="0.2">
      <c r="B57" s="27"/>
      <c r="C57" s="27"/>
      <c r="D57" s="27"/>
      <c r="E57" s="27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</row>
  </sheetData>
  <mergeCells count="68">
    <mergeCell ref="A1:Q2"/>
    <mergeCell ref="G3:P4"/>
    <mergeCell ref="B5:E5"/>
    <mergeCell ref="A6:A7"/>
    <mergeCell ref="B6:E7"/>
    <mergeCell ref="F6:F7"/>
    <mergeCell ref="A8:A9"/>
    <mergeCell ref="B8:E9"/>
    <mergeCell ref="F8:F9"/>
    <mergeCell ref="A10:A11"/>
    <mergeCell ref="B10:E11"/>
    <mergeCell ref="F10:F11"/>
    <mergeCell ref="A12:A13"/>
    <mergeCell ref="B12:E13"/>
    <mergeCell ref="F12:F13"/>
    <mergeCell ref="A14:A15"/>
    <mergeCell ref="B14:E15"/>
    <mergeCell ref="F14:F15"/>
    <mergeCell ref="A16:A17"/>
    <mergeCell ref="B16:E17"/>
    <mergeCell ref="F16:F17"/>
    <mergeCell ref="A18:A19"/>
    <mergeCell ref="B18:E19"/>
    <mergeCell ref="F18:F19"/>
    <mergeCell ref="A20:A21"/>
    <mergeCell ref="B20:E21"/>
    <mergeCell ref="F20:F21"/>
    <mergeCell ref="A22:A23"/>
    <mergeCell ref="B22:E23"/>
    <mergeCell ref="F22:F23"/>
    <mergeCell ref="A24:A25"/>
    <mergeCell ref="B24:E25"/>
    <mergeCell ref="F24:F25"/>
    <mergeCell ref="A26:A27"/>
    <mergeCell ref="B26:E27"/>
    <mergeCell ref="F26:F27"/>
    <mergeCell ref="A34:A35"/>
    <mergeCell ref="B34:E35"/>
    <mergeCell ref="F34:F35"/>
    <mergeCell ref="A28:A29"/>
    <mergeCell ref="B28:E29"/>
    <mergeCell ref="F28:F29"/>
    <mergeCell ref="A32:A33"/>
    <mergeCell ref="B32:E33"/>
    <mergeCell ref="F32:F33"/>
    <mergeCell ref="A30:A31"/>
    <mergeCell ref="B30:E31"/>
    <mergeCell ref="F30:F31"/>
    <mergeCell ref="A36:A37"/>
    <mergeCell ref="B36:E37"/>
    <mergeCell ref="F36:F37"/>
    <mergeCell ref="A38:A39"/>
    <mergeCell ref="B38:E39"/>
    <mergeCell ref="F38:F39"/>
    <mergeCell ref="A54:Q54"/>
    <mergeCell ref="A40:A41"/>
    <mergeCell ref="B40:E41"/>
    <mergeCell ref="F40:F41"/>
    <mergeCell ref="A42:A43"/>
    <mergeCell ref="B42:E43"/>
    <mergeCell ref="F42:F43"/>
    <mergeCell ref="B44:E44"/>
    <mergeCell ref="B45:E45"/>
    <mergeCell ref="B46:E46"/>
    <mergeCell ref="B47:E47"/>
    <mergeCell ref="A53:Q53"/>
    <mergeCell ref="A51:E51"/>
    <mergeCell ref="G51:J51"/>
  </mergeCells>
  <printOptions horizontalCentered="1"/>
  <pageMargins left="0.47244094488188981" right="0.47244094488188981" top="0.59055118110236227" bottom="0.47244094488188981" header="0.31496062992125984" footer="0.31496062992125984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PLANILHA orçamentária</vt:lpstr>
      <vt:lpstr>memória de cálculo</vt:lpstr>
      <vt:lpstr> CRNOGRAMA 1</vt:lpstr>
      <vt:lpstr>' CRNOGRAMA 1'!Area_de_impressao</vt:lpstr>
      <vt:lpstr>'PLANILHA orçamentária'!Area_de_impressao</vt:lpstr>
      <vt:lpstr>'PLANILHA orçamentária'!Titulos_de_impressao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Aron</dc:creator>
  <cp:lastModifiedBy>Cledson Pereira</cp:lastModifiedBy>
  <cp:lastPrinted>2020-07-15T21:00:03Z</cp:lastPrinted>
  <dcterms:created xsi:type="dcterms:W3CDTF">2012-04-02T16:39:47Z</dcterms:created>
  <dcterms:modified xsi:type="dcterms:W3CDTF">2020-07-29T12:48:56Z</dcterms:modified>
</cp:coreProperties>
</file>